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BCHOD\výpočtové excely\"/>
    </mc:Choice>
  </mc:AlternateContent>
  <xr:revisionPtr revIDLastSave="0" documentId="13_ncr:1_{9B631025-AD12-4D50-939E-71E51132B9AF}" xr6:coauthVersionLast="47" xr6:coauthVersionMax="47" xr10:uidLastSave="{00000000-0000-0000-0000-000000000000}"/>
  <workbookProtection workbookAlgorithmName="SHA-512" workbookHashValue="R7uPsIWFWg0ZghtLeSHKkTaQgPBYZBzbj0bPGskQv45Yl9pcWtWPJOISqRGRDqvIICP8BqOkJMCajZEyWmUJxA==" workbookSaltValue="lnqUZTabDk49D+cQW4jAjQ==" workbookSpinCount="100000" lockStructure="1"/>
  <bookViews>
    <workbookView xWindow="-120" yWindow="-120" windowWidth="29040" windowHeight="15840" xr2:uid="{571FC62B-C9F2-411B-BBEC-4FD5317C93DE}"/>
  </bookViews>
  <sheets>
    <sheet name="ÚVODNÍ LIST" sheetId="1" r:id="rId1"/>
    <sheet name="EN pro solár" sheetId="5" r:id="rId2"/>
    <sheet name="EN pro vytápění" sheetId="6" r:id="rId3"/>
    <sheet name="výpočet úvodní" sheetId="2" state="hidden" r:id="rId4"/>
    <sheet name="výpočet solár" sheetId="8" state="hidden" r:id="rId5"/>
    <sheet name="výpočet vytápění" sheetId="10" state="hidden" r:id="rId6"/>
  </sheets>
  <definedNames>
    <definedName name="_xlnm.Print_Area" localSheetId="1">'EN pro solár'!$A$1:$H$23</definedName>
    <definedName name="_xlnm.Print_Area" localSheetId="2">'EN pro vytápění'!$A$1:$I$26</definedName>
    <definedName name="_xlnm.Print_Area" localSheetId="0">'ÚVODNÍ LIST'!$A$1:$I$29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5" l="1"/>
  <c r="M36" i="5"/>
  <c r="M35" i="5"/>
  <c r="M34" i="5"/>
  <c r="M33" i="5"/>
  <c r="M32" i="5"/>
  <c r="M31" i="5"/>
  <c r="M30" i="5"/>
  <c r="M29" i="5"/>
  <c r="M28" i="5"/>
  <c r="M37" i="5" l="1"/>
  <c r="E11" i="5" s="1"/>
  <c r="K43" i="5" l="1"/>
  <c r="M17" i="5"/>
  <c r="M18" i="5"/>
  <c r="M19" i="5"/>
  <c r="M20" i="5"/>
  <c r="M21" i="5"/>
  <c r="M22" i="5"/>
  <c r="M23" i="5"/>
  <c r="M24" i="5"/>
  <c r="M7" i="5"/>
  <c r="M8" i="5"/>
  <c r="M9" i="5"/>
  <c r="M6" i="5"/>
  <c r="M16" i="5"/>
  <c r="M5" i="5"/>
  <c r="M25" i="5" l="1"/>
  <c r="E9" i="5" s="1"/>
  <c r="M10" i="5"/>
  <c r="E5" i="5" s="1"/>
  <c r="K40" i="5" l="1"/>
  <c r="K41" i="5" l="1"/>
  <c r="K42" i="5" s="1"/>
  <c r="K45" i="5" s="1"/>
  <c r="L6" i="6"/>
  <c r="K9" i="6" s="1"/>
  <c r="K10" i="6" s="1"/>
  <c r="L5" i="6"/>
  <c r="L37" i="2"/>
  <c r="M37" i="2" s="1"/>
  <c r="L15" i="2"/>
  <c r="M15" i="2" s="1"/>
  <c r="L1" i="2"/>
  <c r="M1" i="2" s="1"/>
  <c r="L1" i="8" l="1"/>
  <c r="E22" i="5"/>
  <c r="M4" i="2"/>
  <c r="L7" i="6"/>
  <c r="M16" i="2"/>
  <c r="N16" i="2" s="1"/>
  <c r="M28" i="2"/>
  <c r="N29" i="2" s="1"/>
  <c r="R29" i="2" s="1"/>
  <c r="M20" i="2"/>
  <c r="M32" i="2"/>
  <c r="N33" i="2" s="1"/>
  <c r="P33" i="2" s="1"/>
  <c r="M24" i="2"/>
  <c r="N25" i="2" s="1"/>
  <c r="P25" i="2" s="1"/>
  <c r="M29" i="2"/>
  <c r="M21" i="2"/>
  <c r="M33" i="2"/>
  <c r="M25" i="2"/>
  <c r="M17" i="2"/>
  <c r="M39" i="2"/>
  <c r="M43" i="2"/>
  <c r="N44" i="2" s="1"/>
  <c r="M47" i="2"/>
  <c r="N48" i="2" s="1"/>
  <c r="M51" i="2"/>
  <c r="M41" i="2"/>
  <c r="M45" i="2"/>
  <c r="N46" i="2" s="1"/>
  <c r="M49" i="2"/>
  <c r="N50" i="2" s="1"/>
  <c r="M38" i="2"/>
  <c r="N38" i="2" s="1"/>
  <c r="M42" i="2"/>
  <c r="M50" i="2"/>
  <c r="N51" i="2" s="1"/>
  <c r="M40" i="2"/>
  <c r="M44" i="2"/>
  <c r="M48" i="2"/>
  <c r="M52" i="2"/>
  <c r="M46" i="2"/>
  <c r="P29" i="2"/>
  <c r="M35" i="2"/>
  <c r="M31" i="2"/>
  <c r="N32" i="2" s="1"/>
  <c r="M27" i="2"/>
  <c r="N28" i="2" s="1"/>
  <c r="M23" i="2"/>
  <c r="N24" i="2" s="1"/>
  <c r="M19" i="2"/>
  <c r="M34" i="2"/>
  <c r="M30" i="2"/>
  <c r="M26" i="2"/>
  <c r="M22" i="2"/>
  <c r="M18" i="2"/>
  <c r="M7" i="2"/>
  <c r="M11" i="2"/>
  <c r="M3" i="2"/>
  <c r="N4" i="2" s="1"/>
  <c r="M6" i="2"/>
  <c r="N7" i="2" s="1"/>
  <c r="M5" i="2"/>
  <c r="N6" i="2" s="1"/>
  <c r="M2" i="2"/>
  <c r="N2" i="2" s="1"/>
  <c r="M10" i="2"/>
  <c r="N11" i="2" s="1"/>
  <c r="M13" i="2"/>
  <c r="M9" i="2"/>
  <c r="M12" i="2"/>
  <c r="M8" i="2"/>
  <c r="L3" i="8" l="1"/>
  <c r="L12" i="8"/>
  <c r="M13" i="8" s="1"/>
  <c r="O13" i="8" s="1"/>
  <c r="L9" i="8"/>
  <c r="M10" i="8" s="1"/>
  <c r="L4" i="8"/>
  <c r="L6" i="8"/>
  <c r="M7" i="8" s="1"/>
  <c r="P7" i="8" s="1"/>
  <c r="L7" i="8"/>
  <c r="M8" i="8" s="1"/>
  <c r="P8" i="8" s="1"/>
  <c r="L8" i="8"/>
  <c r="M9" i="8" s="1"/>
  <c r="L2" i="8"/>
  <c r="L13" i="8"/>
  <c r="L11" i="8"/>
  <c r="M12" i="8" s="1"/>
  <c r="L5" i="8"/>
  <c r="M6" i="8" s="1"/>
  <c r="L10" i="8"/>
  <c r="M11" i="8" s="1"/>
  <c r="O11" i="8" s="1"/>
  <c r="Q7" i="8"/>
  <c r="M1" i="10"/>
  <c r="M8" i="10" s="1"/>
  <c r="F20" i="6"/>
  <c r="M20" i="10"/>
  <c r="N21" i="10" s="1"/>
  <c r="Q25" i="2"/>
  <c r="R25" i="2"/>
  <c r="R33" i="2"/>
  <c r="Q29" i="2"/>
  <c r="N5" i="2"/>
  <c r="P5" i="2" s="1"/>
  <c r="N3" i="2"/>
  <c r="P3" i="2" s="1"/>
  <c r="N20" i="2"/>
  <c r="Q20" i="2" s="1"/>
  <c r="N41" i="2"/>
  <c r="P41" i="2" s="1"/>
  <c r="N39" i="2"/>
  <c r="R39" i="2" s="1"/>
  <c r="N21" i="2"/>
  <c r="Q33" i="2"/>
  <c r="N17" i="2"/>
  <c r="Q38" i="2"/>
  <c r="P38" i="2"/>
  <c r="R38" i="2"/>
  <c r="Q48" i="2"/>
  <c r="R48" i="2"/>
  <c r="P48" i="2"/>
  <c r="R51" i="2"/>
  <c r="P51" i="2"/>
  <c r="Q51" i="2"/>
  <c r="Q44" i="2"/>
  <c r="R44" i="2"/>
  <c r="P44" i="2"/>
  <c r="N45" i="2"/>
  <c r="N43" i="2"/>
  <c r="N42" i="2"/>
  <c r="N40" i="2"/>
  <c r="Q50" i="2"/>
  <c r="P50" i="2"/>
  <c r="R50" i="2"/>
  <c r="N49" i="2"/>
  <c r="Q46" i="2"/>
  <c r="P46" i="2"/>
  <c r="R46" i="2"/>
  <c r="N47" i="2"/>
  <c r="P39" i="2"/>
  <c r="N52" i="2"/>
  <c r="P28" i="2"/>
  <c r="Q28" i="2"/>
  <c r="R28" i="2"/>
  <c r="N27" i="2"/>
  <c r="N26" i="2"/>
  <c r="P24" i="2"/>
  <c r="Q24" i="2"/>
  <c r="R24" i="2"/>
  <c r="P16" i="2"/>
  <c r="R16" i="2"/>
  <c r="Q16" i="2"/>
  <c r="N31" i="2"/>
  <c r="N30" i="2"/>
  <c r="N19" i="2"/>
  <c r="N18" i="2"/>
  <c r="N35" i="2"/>
  <c r="P32" i="2"/>
  <c r="R32" i="2"/>
  <c r="Q32" i="2"/>
  <c r="N23" i="2"/>
  <c r="N22" i="2"/>
  <c r="P20" i="2"/>
  <c r="N34" i="2"/>
  <c r="P6" i="2"/>
  <c r="Q6" i="2"/>
  <c r="R6" i="2"/>
  <c r="Q2" i="2"/>
  <c r="P2" i="2"/>
  <c r="R2" i="2"/>
  <c r="P4" i="2"/>
  <c r="R4" i="2"/>
  <c r="Q4" i="2"/>
  <c r="N9" i="2"/>
  <c r="R11" i="2"/>
  <c r="P11" i="2"/>
  <c r="Q11" i="2"/>
  <c r="Q7" i="2"/>
  <c r="R7" i="2"/>
  <c r="P7" i="2"/>
  <c r="N13" i="2"/>
  <c r="P13" i="2" s="1"/>
  <c r="N8" i="2"/>
  <c r="N10" i="2"/>
  <c r="N12" i="2"/>
  <c r="M17" i="10" l="1"/>
  <c r="N18" i="10" s="1"/>
  <c r="Q18" i="10" s="1"/>
  <c r="M21" i="10"/>
  <c r="M16" i="10"/>
  <c r="N17" i="10" s="1"/>
  <c r="M4" i="10"/>
  <c r="M18" i="10"/>
  <c r="N19" i="10" s="1"/>
  <c r="R19" i="10" s="1"/>
  <c r="N9" i="10"/>
  <c r="Q9" i="10" s="1"/>
  <c r="M11" i="10"/>
  <c r="P11" i="8"/>
  <c r="O7" i="8"/>
  <c r="O8" i="8"/>
  <c r="Q8" i="8"/>
  <c r="Q13" i="8"/>
  <c r="Q11" i="8"/>
  <c r="P13" i="8"/>
  <c r="M13" i="10"/>
  <c r="N14" i="10" s="1"/>
  <c r="Q14" i="10" s="1"/>
  <c r="M12" i="10"/>
  <c r="N13" i="10" s="1"/>
  <c r="R13" i="10" s="1"/>
  <c r="Q5" i="2"/>
  <c r="N2" i="10"/>
  <c r="Q2" i="10" s="1"/>
  <c r="M14" i="10"/>
  <c r="N15" i="10" s="1"/>
  <c r="M6" i="10"/>
  <c r="M9" i="10"/>
  <c r="N10" i="10" s="1"/>
  <c r="Q10" i="10" s="1"/>
  <c r="M7" i="10"/>
  <c r="N8" i="10" s="1"/>
  <c r="Q8" i="10" s="1"/>
  <c r="M19" i="10"/>
  <c r="N20" i="10" s="1"/>
  <c r="R20" i="10" s="1"/>
  <c r="M15" i="10"/>
  <c r="N16" i="10" s="1"/>
  <c r="Q16" i="10" s="1"/>
  <c r="M2" i="10"/>
  <c r="M3" i="10"/>
  <c r="N4" i="10" s="1"/>
  <c r="R4" i="10" s="1"/>
  <c r="M10" i="10"/>
  <c r="M5" i="10"/>
  <c r="N5" i="10" s="1"/>
  <c r="M2" i="8"/>
  <c r="M3" i="8"/>
  <c r="M4" i="8"/>
  <c r="M5" i="8"/>
  <c r="O6" i="8"/>
  <c r="Q6" i="8"/>
  <c r="P6" i="8"/>
  <c r="O9" i="8"/>
  <c r="P9" i="8"/>
  <c r="Q9" i="8"/>
  <c r="Q10" i="8"/>
  <c r="P10" i="8"/>
  <c r="O10" i="8"/>
  <c r="Q12" i="8"/>
  <c r="O12" i="8"/>
  <c r="P12" i="8"/>
  <c r="R9" i="10"/>
  <c r="P17" i="10"/>
  <c r="R17" i="10"/>
  <c r="Q17" i="10"/>
  <c r="Q19" i="10"/>
  <c r="P15" i="10"/>
  <c r="Q15" i="10"/>
  <c r="R15" i="10"/>
  <c r="Q21" i="10"/>
  <c r="R21" i="10"/>
  <c r="P21" i="10"/>
  <c r="R20" i="2"/>
  <c r="R5" i="2"/>
  <c r="Q39" i="2"/>
  <c r="Q41" i="2"/>
  <c r="R41" i="2"/>
  <c r="R3" i="2"/>
  <c r="Q3" i="2"/>
  <c r="R17" i="2"/>
  <c r="P17" i="2"/>
  <c r="Q17" i="2"/>
  <c r="P21" i="2"/>
  <c r="Q21" i="2"/>
  <c r="R21" i="2"/>
  <c r="Q52" i="2"/>
  <c r="R52" i="2"/>
  <c r="P52" i="2"/>
  <c r="Q42" i="2"/>
  <c r="P42" i="2"/>
  <c r="R42" i="2"/>
  <c r="R47" i="2"/>
  <c r="P47" i="2"/>
  <c r="Q47" i="2"/>
  <c r="P49" i="2"/>
  <c r="R49" i="2"/>
  <c r="Q49" i="2"/>
  <c r="Q40" i="2"/>
  <c r="P40" i="2"/>
  <c r="R40" i="2"/>
  <c r="R43" i="2"/>
  <c r="P43" i="2"/>
  <c r="Q43" i="2"/>
  <c r="P45" i="2"/>
  <c r="R45" i="2"/>
  <c r="Q45" i="2"/>
  <c r="P35" i="2"/>
  <c r="Q35" i="2"/>
  <c r="R35" i="2"/>
  <c r="P27" i="2"/>
  <c r="Q27" i="2"/>
  <c r="R27" i="2"/>
  <c r="Q18" i="2"/>
  <c r="R18" i="2"/>
  <c r="P18" i="2"/>
  <c r="P19" i="2"/>
  <c r="Q19" i="2"/>
  <c r="R19" i="2"/>
  <c r="P23" i="2"/>
  <c r="Q23" i="2"/>
  <c r="R23" i="2"/>
  <c r="P31" i="2"/>
  <c r="Q31" i="2"/>
  <c r="R31" i="2"/>
  <c r="Q34" i="2"/>
  <c r="R34" i="2"/>
  <c r="P34" i="2"/>
  <c r="Q22" i="2"/>
  <c r="R22" i="2"/>
  <c r="P22" i="2"/>
  <c r="Q30" i="2"/>
  <c r="R30" i="2"/>
  <c r="P30" i="2"/>
  <c r="Q26" i="2"/>
  <c r="R26" i="2"/>
  <c r="P26" i="2"/>
  <c r="R8" i="2"/>
  <c r="P8" i="2"/>
  <c r="Q8" i="2"/>
  <c r="Q13" i="2"/>
  <c r="R13" i="2"/>
  <c r="R12" i="2"/>
  <c r="P12" i="2"/>
  <c r="Q12" i="2"/>
  <c r="Q9" i="2"/>
  <c r="R9" i="2"/>
  <c r="P9" i="2"/>
  <c r="Q10" i="2"/>
  <c r="R10" i="2"/>
  <c r="P10" i="2"/>
  <c r="R2" i="10" l="1"/>
  <c r="P2" i="10"/>
  <c r="P19" i="10"/>
  <c r="P18" i="10"/>
  <c r="R18" i="10"/>
  <c r="P9" i="10"/>
  <c r="P16" i="10"/>
  <c r="P14" i="10"/>
  <c r="R14" i="10"/>
  <c r="P20" i="10"/>
  <c r="N3" i="10"/>
  <c r="Q3" i="10" s="1"/>
  <c r="N12" i="10"/>
  <c r="R8" i="10"/>
  <c r="Q13" i="10"/>
  <c r="P8" i="10"/>
  <c r="P13" i="10"/>
  <c r="N7" i="10"/>
  <c r="R7" i="10" s="1"/>
  <c r="Q20" i="10"/>
  <c r="R16" i="10"/>
  <c r="N11" i="10"/>
  <c r="Q11" i="10" s="1"/>
  <c r="Q5" i="10"/>
  <c r="P5" i="10"/>
  <c r="R5" i="10"/>
  <c r="Q4" i="10"/>
  <c r="P10" i="10"/>
  <c r="R10" i="10"/>
  <c r="P4" i="10"/>
  <c r="N6" i="10"/>
  <c r="O5" i="8"/>
  <c r="P5" i="8"/>
  <c r="Q5" i="8"/>
  <c r="P4" i="8"/>
  <c r="O4" i="8"/>
  <c r="Q4" i="8"/>
  <c r="O3" i="8"/>
  <c r="P3" i="8"/>
  <c r="Q3" i="8"/>
  <c r="Q2" i="8"/>
  <c r="O2" i="8"/>
  <c r="P2" i="8"/>
  <c r="P3" i="10"/>
  <c r="R3" i="10"/>
  <c r="R53" i="2"/>
  <c r="D24" i="1" s="1"/>
  <c r="P14" i="2"/>
  <c r="B8" i="1" s="1"/>
  <c r="Q53" i="2"/>
  <c r="C24" i="1" s="1"/>
  <c r="P53" i="2"/>
  <c r="B24" i="1" s="1"/>
  <c r="R36" i="2"/>
  <c r="D16" i="1" s="1"/>
  <c r="Q36" i="2"/>
  <c r="C16" i="1" s="1"/>
  <c r="P36" i="2"/>
  <c r="B16" i="1" s="1"/>
  <c r="R14" i="2"/>
  <c r="D8" i="1" s="1"/>
  <c r="Q14" i="2"/>
  <c r="C8" i="1" s="1"/>
  <c r="Q7" i="10" l="1"/>
  <c r="P7" i="10"/>
  <c r="R11" i="10"/>
  <c r="P11" i="10"/>
  <c r="P12" i="10"/>
  <c r="R12" i="10"/>
  <c r="Q12" i="10"/>
  <c r="P14" i="8"/>
  <c r="C20" i="5" s="1"/>
  <c r="Q6" i="10"/>
  <c r="P6" i="10"/>
  <c r="R6" i="10"/>
  <c r="O14" i="8"/>
  <c r="B20" i="5" s="1"/>
  <c r="Q14" i="8"/>
  <c r="D20" i="5" s="1"/>
  <c r="P22" i="10" l="1"/>
  <c r="B18" i="6" s="1"/>
  <c r="Q22" i="10"/>
  <c r="C18" i="6" s="1"/>
  <c r="R22" i="10"/>
  <c r="D18" i="6" s="1"/>
</calcChain>
</file>

<file path=xl/sharedStrings.xml><?xml version="1.0" encoding="utf-8"?>
<sst xmlns="http://schemas.openxmlformats.org/spreadsheetml/2006/main" count="332" uniqueCount="175">
  <si>
    <t>Regulus spol. s r.o.
Do Koutů 1897/3
143 00 Praha 12</t>
  </si>
  <si>
    <t>Orientační návrh velikosti expanzní nádoby Regulus</t>
  </si>
  <si>
    <t>EXP SL012241</t>
  </si>
  <si>
    <t>EXP SL018241</t>
  </si>
  <si>
    <t>EXP SL025241</t>
  </si>
  <si>
    <t>EXP SL040241</t>
  </si>
  <si>
    <t>EXP SL050281</t>
  </si>
  <si>
    <t>EXP SL080281</t>
  </si>
  <si>
    <t>EXP SL100381</t>
  </si>
  <si>
    <t>EXP SL150481</t>
  </si>
  <si>
    <t>EXP SL200481</t>
  </si>
  <si>
    <t>EXP SL300481</t>
  </si>
  <si>
    <t>EXP SL500481</t>
  </si>
  <si>
    <t>EXP HS005231</t>
  </si>
  <si>
    <t>EXP HS008231</t>
  </si>
  <si>
    <t>EXP HS012231</t>
  </si>
  <si>
    <t>EXP HS018231</t>
  </si>
  <si>
    <t>EXP HS025231</t>
  </si>
  <si>
    <t>EXP HS040231</t>
  </si>
  <si>
    <t>EXP HS035231P</t>
  </si>
  <si>
    <t>EXP HS050271</t>
  </si>
  <si>
    <t>EXP HS060371</t>
  </si>
  <si>
    <t>EXP HS080371</t>
  </si>
  <si>
    <t>EXP HS100371</t>
  </si>
  <si>
    <t>EXP HS150471</t>
  </si>
  <si>
    <t>EXP HS200471</t>
  </si>
  <si>
    <t>EXP HS250471</t>
  </si>
  <si>
    <t>EXP HS300471</t>
  </si>
  <si>
    <t>EXP HS400471</t>
  </si>
  <si>
    <t>EXP HS500471</t>
  </si>
  <si>
    <t>EXP HS600471</t>
  </si>
  <si>
    <t>EXP HS700471</t>
  </si>
  <si>
    <t>EXP HW016823</t>
  </si>
  <si>
    <t>EXP HW002823</t>
  </si>
  <si>
    <t>EXP HW005223</t>
  </si>
  <si>
    <t>EXP HW008223</t>
  </si>
  <si>
    <t>EXP HW012223</t>
  </si>
  <si>
    <t>EXP HW018223</t>
  </si>
  <si>
    <t>EXP HW025223</t>
  </si>
  <si>
    <t>EXP HW040223</t>
  </si>
  <si>
    <t>EXP HW060362</t>
  </si>
  <si>
    <t>EXP HW080362</t>
  </si>
  <si>
    <t>EXP HW100362</t>
  </si>
  <si>
    <t>EXP HW200462</t>
  </si>
  <si>
    <t>EXP HW300462</t>
  </si>
  <si>
    <t>EXP HW400462</t>
  </si>
  <si>
    <t>není v nabídce</t>
  </si>
  <si>
    <t>Zadejte počet solárních kolektorů:</t>
  </si>
  <si>
    <t>ks</t>
  </si>
  <si>
    <t>litrů</t>
  </si>
  <si>
    <t>Zadejte objem zásobníku teplé vody:</t>
  </si>
  <si>
    <t>Zadejte objem vody v otopné soustavě:</t>
  </si>
  <si>
    <t xml:space="preserve"> </t>
  </si>
  <si>
    <t>zkratka</t>
  </si>
  <si>
    <t>název</t>
  </si>
  <si>
    <t>obj. kód</t>
  </si>
  <si>
    <t>objem kapaliny v kolektorech</t>
  </si>
  <si>
    <t>m</t>
  </si>
  <si>
    <t>bar</t>
  </si>
  <si>
    <t>celkový objem kapaliny</t>
  </si>
  <si>
    <t>vodní objem celé otopné soustavy (kotel, potrubí, otopná tělesa, ostatní zařízení)</t>
  </si>
  <si>
    <t>V</t>
  </si>
  <si>
    <t>teplota studené vody</t>
  </si>
  <si>
    <t>°C</t>
  </si>
  <si>
    <t>maximální provozní teplota otopné soustavy</t>
  </si>
  <si>
    <t>maximální provozní tlak v otopné soustavě 
(nesmí být vyšší než je hodnota pojistného ventilu v kotelně)</t>
  </si>
  <si>
    <t>převýšení nejvyššího bodu otopné soustavy nad expanzní nádobou</t>
  </si>
  <si>
    <t>H</t>
  </si>
  <si>
    <t>minimální požadovaný tlak v kotli (dle výrobce)</t>
  </si>
  <si>
    <t>Δv</t>
  </si>
  <si>
    <t>Postup montáže:</t>
  </si>
  <si>
    <t xml:space="preserve">Upravit tlak v expanzní nádobě (bez kapaliny) na </t>
  </si>
  <si>
    <t xml:space="preserve">Napustit otopnou soustavu a po odvzdušnění nastavit tlak na </t>
  </si>
  <si>
    <t>Výpočet předpokládá uspořádání otopné soustavy tak, že kotelna s kotlem, expanzní nádobou a pojišťovacím ventilem jsou v nejnižším místě otopného systému.</t>
  </si>
  <si>
    <t>Pro jiné uspořádání se výpočet provede obdobně, vztáhne se k umístění expanzní nádoby a u ostatních dílů topení se vezme v úvahu rozdíl hydrostatického tlaku.</t>
  </si>
  <si>
    <t>Pro přesnější návrh klikněte zde</t>
  </si>
  <si>
    <t>litrů (včetně akumulační nádrže)</t>
  </si>
  <si>
    <t>Pro návrat klikněte zde</t>
  </si>
  <si>
    <t>Poznámka:</t>
  </si>
  <si>
    <t>Přesnější návrh velikosti expanzní nádoby Regulus</t>
  </si>
  <si>
    <t>Přesnější návrh velikosti solární expanzní nádoby Regulus</t>
  </si>
  <si>
    <t>Minimální objem expanzní nádoby činí</t>
  </si>
  <si>
    <r>
      <t>t</t>
    </r>
    <r>
      <rPr>
        <b/>
        <vertAlign val="subscript"/>
        <sz val="9"/>
        <rFont val="Arial"/>
        <family val="2"/>
        <charset val="238"/>
      </rPr>
      <t>w</t>
    </r>
  </si>
  <si>
    <r>
      <t>T</t>
    </r>
    <r>
      <rPr>
        <b/>
        <vertAlign val="subscript"/>
        <sz val="9"/>
        <rFont val="Arial"/>
        <family val="2"/>
        <charset val="238"/>
      </rPr>
      <t>max</t>
    </r>
  </si>
  <si>
    <r>
      <t>p</t>
    </r>
    <r>
      <rPr>
        <b/>
        <vertAlign val="subscript"/>
        <sz val="9"/>
        <rFont val="Arial"/>
        <family val="2"/>
        <charset val="238"/>
      </rPr>
      <t>h,dov</t>
    </r>
  </si>
  <si>
    <r>
      <t>p</t>
    </r>
    <r>
      <rPr>
        <b/>
        <vertAlign val="subscript"/>
        <sz val="9"/>
        <rFont val="Arial"/>
        <family val="2"/>
        <charset val="238"/>
      </rPr>
      <t>k</t>
    </r>
  </si>
  <si>
    <t>objem kapaliny v potrubí</t>
  </si>
  <si>
    <t>objem kapaliny ve výměníku</t>
  </si>
  <si>
    <t>objemová roztažnost</t>
  </si>
  <si>
    <t>plnící přetlak</t>
  </si>
  <si>
    <t>max. provozní tlak</t>
  </si>
  <si>
    <t>min. velikost EN</t>
  </si>
  <si>
    <t>Pomůcka</t>
  </si>
  <si>
    <t>KPS11, KPG1, KPG1H, KPI1</t>
  </si>
  <si>
    <t>objem kapaliny v 1 kolektoru</t>
  </si>
  <si>
    <t>RDC250, RDC300</t>
  </si>
  <si>
    <t>DUO 390/130 PR, HSK 390 PR</t>
  </si>
  <si>
    <t>výškový rozdíl "H" mezi exp. nádobou a nejvyšším bodem soustavy</t>
  </si>
  <si>
    <r>
      <t>p</t>
    </r>
    <r>
      <rPr>
        <i/>
        <vertAlign val="subscript"/>
        <sz val="8"/>
        <color theme="1" tint="0.499984740745262"/>
        <rFont val="Arial"/>
        <family val="2"/>
        <charset val="238"/>
      </rPr>
      <t>h,min</t>
    </r>
  </si>
  <si>
    <r>
      <t>V</t>
    </r>
    <r>
      <rPr>
        <i/>
        <vertAlign val="subscript"/>
        <sz val="8"/>
        <color theme="1" tint="0.499984740745262"/>
        <rFont val="Arial"/>
        <family val="2"/>
        <charset val="238"/>
      </rPr>
      <t>EN</t>
    </r>
  </si>
  <si>
    <t>poměrné zvětšení objemu vody při ohřátí z 10 °C na max. teplotu v otopném systému Tmax</t>
  </si>
  <si>
    <t xml:space="preserve">min. požadovaný tlak v kotelně </t>
  </si>
  <si>
    <t xml:space="preserve">min. objem expanzní nádoby </t>
  </si>
  <si>
    <t>celkem</t>
  </si>
  <si>
    <t>litrů/metr</t>
  </si>
  <si>
    <t>počet</t>
  </si>
  <si>
    <t>Výpočtová data</t>
  </si>
  <si>
    <t>součinitel objemové roztažnosti (plochý kol. 0,09; trubicový kol. 0,12)</t>
  </si>
  <si>
    <t>pojistný ventil (u systémů Regulus 6 bar)</t>
  </si>
  <si>
    <t>KTU 6R2</t>
  </si>
  <si>
    <t>KTU 9R2</t>
  </si>
  <si>
    <t>KPS1, KPS1 Concept</t>
  </si>
  <si>
    <t>KTU 15</t>
  </si>
  <si>
    <t>Cu15</t>
  </si>
  <si>
    <t>Cu18</t>
  </si>
  <si>
    <t>Cu22</t>
  </si>
  <si>
    <t>Cu28</t>
  </si>
  <si>
    <t>Cu35</t>
  </si>
  <si>
    <t>DN12</t>
  </si>
  <si>
    <t>DN16</t>
  </si>
  <si>
    <t>DN20</t>
  </si>
  <si>
    <t>DN25</t>
  </si>
  <si>
    <t>metrů</t>
  </si>
  <si>
    <t>objem kapaliny v potrubí na střeše (v úrovní panelů nebo max. 0,5m pod nimi)</t>
  </si>
  <si>
    <t>objem kapaliny v potrubí (mimo potrubí na střeše)</t>
  </si>
  <si>
    <t>objem kapaliny v potrubí na střeše (v úrovní panelů nebo max. 0,5m pod panely)</t>
  </si>
  <si>
    <t>objem kapaliny v EN za studena</t>
  </si>
  <si>
    <t>v1.6_09/21</t>
  </si>
  <si>
    <t>Expanzní nádoba  18 l - SL, 8 bar, 3/4" M - solar</t>
  </si>
  <si>
    <t>Expanzní nádoba  12 l - SL, 8 bar, 3/4" M - solar</t>
  </si>
  <si>
    <t>Expanzní nádoba  25 l - SL, 8 bar, 3/4" M - solar</t>
  </si>
  <si>
    <t>Expanzní nádoba  40 l - SL, 8 bar, 3/4" M- solar</t>
  </si>
  <si>
    <t>Expanzní nádoba  50 l - SL, 10 bar, 3/4" M - solar, na nohách, vým.vak</t>
  </si>
  <si>
    <t>Expanzní nádoba  80 l - SL, 10 bar, 3/4" M - solar, na nohách, vým.vak</t>
  </si>
  <si>
    <t>Expanzní nádoba  100 l - SL, 10 bar, 1" M - solar, na nohách, vým.vak</t>
  </si>
  <si>
    <t>Expanzní nádoba  150 l - SL, 10 bar, 6/4" M - solar, na nohách, vým.vak</t>
  </si>
  <si>
    <t>Expanzní nádoba  200 l - SL, 10 bar, 6/4" M - solar, na nohách, vým.vak</t>
  </si>
  <si>
    <t>Expanzní nádoba  300 l - SL , 10 bar, 6/4" M - solar, na nohách, vým.vak</t>
  </si>
  <si>
    <t>Expanzní nádoba  500 l - SL , 8 bar, 6/4" M - solar, na nohách, vým.vak</t>
  </si>
  <si>
    <t>Expanzní nádoba  5 l - HS, 6 bar, 3/4" M</t>
  </si>
  <si>
    <t>Expanzní nádoba  8 l - HS, 6 bar, 3/4" M</t>
  </si>
  <si>
    <t>Expanzní nádoba  12 l - HS, 6 bar, 3/4" M</t>
  </si>
  <si>
    <t>Expanzní nádoba  18 l - HS, 6 bar, 3/4" M</t>
  </si>
  <si>
    <t>Expanzní nádoba  25 l - HS, 6 bar, 3/4" M</t>
  </si>
  <si>
    <t>Expanzní nádoba  40 l - HS, 6 bar, 3/4" M</t>
  </si>
  <si>
    <t>Expanzní nádoba  35 l - HS , 5 bar,3/4"M, na nohách</t>
  </si>
  <si>
    <t>Expanzní nádoba  50 l - HS, 6 bar, 3/4" M, na nohách, vým.vak</t>
  </si>
  <si>
    <t>Expanzní nádoba  60 l - HS, 6 bar, 1" M, na nohách, vým.vak</t>
  </si>
  <si>
    <t>Expanzní nádoba  80 l - HS, 6 bar, 1" M, na nohách, vým.vak</t>
  </si>
  <si>
    <t>Expanzní nádoba  100 l - HS, 6 bar, 1" M, na nohách, vým.vak</t>
  </si>
  <si>
    <t>Expanzní nádoba  150 l - HS, 6 bar, 6/4" M, na nohách, vým.vak</t>
  </si>
  <si>
    <t>Expanzní nádoba  200 l - HS, 6 bar, 6/4" M, na nohách, vým.vak</t>
  </si>
  <si>
    <t>Expanzní nádoba  250 l - HS, 6 bar, 6/4" M, na nohách, vým.vak</t>
  </si>
  <si>
    <t>Expanzní nádoba  300 l - HS, 6 bar, 6/4" M, na nohách, vým.vak</t>
  </si>
  <si>
    <t>Expanzní nádoba  400 l - HS, 6 bar, 6/4" M, na nohách, vým.vak</t>
  </si>
  <si>
    <t>Expanzní nádoba  500 l - HS, 6 bar, 6/4" M, na nohách, vým.vak</t>
  </si>
  <si>
    <t>Expanzní nádoba  600 l - HS, 6 bar, 6/4" M, na nohách, vým.vak</t>
  </si>
  <si>
    <t>Expanzní nádoba  700 l - HS, 6 bar, 6/4" M, na nohách, vým.vak</t>
  </si>
  <si>
    <t>Expanzní nádoba  0,16 l - HW, 15 bar, 1/2" M, na pitnou vodu</t>
  </si>
  <si>
    <t>Expanzní nádoba 2 l - HW, 10 bar, 1/2" M, na pitnou vodu</t>
  </si>
  <si>
    <t>Expanzní nádoba 5 l - HW, 8 bar, 3/4" M, na pitnou vodu</t>
  </si>
  <si>
    <t>Expanzní nádoba 8 l - HW, 8 bar, 3/4" M, na pitnou vodu</t>
  </si>
  <si>
    <t>Expanzní nádoba 12 l - HW, 8 bar, 3/4" M, na pitnou vodu</t>
  </si>
  <si>
    <t>Expanzní nádoba 18 l - HW, 8 bar, 3/4" M, na pitnou vodu</t>
  </si>
  <si>
    <t>Expanzní nádoba 25 l - HW, 8 bar, 3/4" M, na pitnou vodu</t>
  </si>
  <si>
    <t>Expanzní nádoba 40 l - HW, 8 bar, 3/4" M, na pitnou vodu</t>
  </si>
  <si>
    <t>Expanzní nádoba 60 l - HW, 10 bar, 1" M, na pitnou vodu, na nohách, vým.vak</t>
  </si>
  <si>
    <t>Expanzní nádoba 80 l - HW, 10 bar, 1" M, na pitnou vodu, na nohách, vým.vak</t>
  </si>
  <si>
    <t>Expanzní nádoba 100 l - HW, 10 bar, 1" M, na pitnou vodu, na nohách, vým.vak</t>
  </si>
  <si>
    <t>Expanzní nádoba 200 l - HW, 10 bar, 6/4" M, na pitnou vodu, na nohách, vým.vak</t>
  </si>
  <si>
    <t>Expanzní nádoba 300 l - HW, 10 bar, 6/4" M, na pitnou vodu, na nohách, vým.vak</t>
  </si>
  <si>
    <t>Expanzní nádoba 400 l - HW, 10 bar, 6/4" M, na pitnou vodu, na nohách, vým.vak</t>
  </si>
  <si>
    <t>Podm. návrhu - max. výška soustavy 15 m, max. počet kolektorů 12</t>
  </si>
  <si>
    <t>Podm. návrhu - max. výška soustavy 15 m, max. teplota otopné vody 80 °C</t>
  </si>
  <si>
    <t>Podm. návrhu - max. teplota zásobníku 80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</si>
</sst>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i/>
      <sz val="8"/>
      <color theme="6"/>
      <name val="Arial"/>
      <family val="2"/>
      <charset val="238"/>
    </font>
    <font>
      <u/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Arial"/>
      <family val="2"/>
      <charset val="238"/>
    </font>
    <font>
      <u/>
      <sz val="9"/>
      <color theme="1" tint="0.499984740745262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9"/>
      <color theme="1" tint="0.499984740745262"/>
      <name val="Arial"/>
      <family val="2"/>
      <charset val="238"/>
    </font>
    <font>
      <b/>
      <u/>
      <sz val="9"/>
      <color theme="1" tint="0.499984740745262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b/>
      <vertAlign val="subscript"/>
      <sz val="9"/>
      <name val="Arial"/>
      <family val="2"/>
      <charset val="238"/>
    </font>
    <font>
      <sz val="9"/>
      <color theme="6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theme="6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8"/>
      <color theme="1" tint="0.499984740745262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bscript"/>
      <sz val="8"/>
      <color theme="1" tint="0.499984740745262"/>
      <name val="Arial"/>
      <family val="2"/>
      <charset val="238"/>
    </font>
    <font>
      <b/>
      <i/>
      <u/>
      <sz val="8"/>
      <color theme="1" tint="0.499984740745262"/>
      <name val="Arial"/>
      <family val="2"/>
      <charset val="238"/>
    </font>
    <font>
      <b/>
      <i/>
      <sz val="8"/>
      <color theme="1" tint="0.499984740745262"/>
      <name val="Arial"/>
      <family val="2"/>
      <charset val="238"/>
    </font>
    <font>
      <u/>
      <sz val="9"/>
      <name val="Arial"/>
      <family val="2"/>
      <charset val="238"/>
    </font>
    <font>
      <i/>
      <sz val="8"/>
      <color rgb="FFC00000"/>
      <name val="Arial"/>
      <family val="2"/>
      <charset val="238"/>
    </font>
    <font>
      <i/>
      <sz val="9"/>
      <color theme="0" tint="-0.49998474074526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left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horizontal="right" vertical="center" wrapText="1"/>
    </xf>
    <xf numFmtId="0" fontId="2" fillId="0" borderId="3" xfId="0" applyFont="1" applyBorder="1"/>
    <xf numFmtId="0" fontId="9" fillId="0" borderId="0" xfId="0" applyFont="1" applyBorder="1" applyAlignment="1">
      <alignment horizontal="right"/>
    </xf>
    <xf numFmtId="0" fontId="11" fillId="0" borderId="0" xfId="0" applyFont="1"/>
    <xf numFmtId="0" fontId="5" fillId="0" borderId="0" xfId="0" applyFont="1"/>
    <xf numFmtId="0" fontId="12" fillId="0" borderId="0" xfId="2" applyFont="1" applyAlignment="1"/>
    <xf numFmtId="0" fontId="13" fillId="0" borderId="0" xfId="0" applyFont="1"/>
    <xf numFmtId="0" fontId="14" fillId="0" borderId="0" xfId="0" applyFont="1"/>
    <xf numFmtId="0" fontId="15" fillId="0" borderId="0" xfId="2" applyFont="1" applyAlignment="1"/>
    <xf numFmtId="0" fontId="3" fillId="0" borderId="3" xfId="0" applyFont="1" applyBorder="1"/>
    <xf numFmtId="0" fontId="5" fillId="0" borderId="0" xfId="1" applyFont="1" applyFill="1"/>
    <xf numFmtId="0" fontId="5" fillId="0" borderId="0" xfId="1" applyFont="1" applyFill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1" applyFont="1"/>
    <xf numFmtId="0" fontId="5" fillId="0" borderId="0" xfId="1" applyFont="1" applyAlignment="1"/>
    <xf numFmtId="0" fontId="16" fillId="0" borderId="0" xfId="0" applyFont="1"/>
    <xf numFmtId="0" fontId="16" fillId="0" borderId="0" xfId="0" applyFont="1" applyBorder="1"/>
    <xf numFmtId="0" fontId="3" fillId="0" borderId="2" xfId="0" applyFont="1" applyBorder="1" applyAlignment="1" applyProtection="1">
      <alignment horizont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4" fontId="11" fillId="0" borderId="0" xfId="2" applyNumberFormat="1" applyFont="1" applyBorder="1" applyAlignment="1">
      <alignment horizontal="left" vertical="center"/>
    </xf>
    <xf numFmtId="0" fontId="17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0" xfId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2" applyFont="1" applyAlignment="1"/>
    <xf numFmtId="0" fontId="21" fillId="0" borderId="0" xfId="0" applyFont="1"/>
    <xf numFmtId="0" fontId="21" fillId="0" borderId="0" xfId="0" applyFont="1" applyAlignment="1">
      <alignment horizontal="left" vertical="center"/>
    </xf>
    <xf numFmtId="0" fontId="19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 vertical="center"/>
    </xf>
    <xf numFmtId="0" fontId="2" fillId="0" borderId="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0" xfId="0" applyFont="1" applyFill="1"/>
    <xf numFmtId="0" fontId="2" fillId="0" borderId="0" xfId="0" applyFont="1" applyFill="1"/>
    <xf numFmtId="0" fontId="2" fillId="0" borderId="5" xfId="0" applyFont="1" applyBorder="1" applyAlignment="1">
      <alignment horizontal="left"/>
    </xf>
    <xf numFmtId="0" fontId="10" fillId="0" borderId="0" xfId="2" applyFont="1" applyFill="1"/>
    <xf numFmtId="0" fontId="22" fillId="0" borderId="0" xfId="0" applyFont="1" applyFill="1" applyAlignment="1">
      <alignment horizontal="right"/>
    </xf>
    <xf numFmtId="164" fontId="11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7" fillId="0" borderId="0" xfId="0" applyFont="1"/>
    <xf numFmtId="0" fontId="5" fillId="0" borderId="0" xfId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24" fillId="0" borderId="0" xfId="0" applyFont="1"/>
    <xf numFmtId="0" fontId="27" fillId="0" borderId="0" xfId="0" applyFont="1"/>
    <xf numFmtId="0" fontId="28" fillId="0" borderId="0" xfId="0" applyFont="1"/>
    <xf numFmtId="4" fontId="24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center"/>
    </xf>
    <xf numFmtId="0" fontId="29" fillId="0" borderId="0" xfId="2" applyFont="1" applyAlignment="1"/>
    <xf numFmtId="0" fontId="17" fillId="0" borderId="0" xfId="0" applyFont="1" applyBorder="1"/>
    <xf numFmtId="164" fontId="0" fillId="0" borderId="0" xfId="0" applyNumberFormat="1"/>
    <xf numFmtId="164" fontId="28" fillId="0" borderId="7" xfId="0" applyNumberFormat="1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4" fontId="28" fillId="0" borderId="0" xfId="0" applyNumberFormat="1" applyFont="1" applyAlignment="1">
      <alignment horizontal="left"/>
    </xf>
    <xf numFmtId="3" fontId="30" fillId="0" borderId="0" xfId="0" applyNumberFormat="1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164" fontId="5" fillId="0" borderId="4" xfId="1" applyNumberFormat="1" applyFont="1" applyFill="1" applyBorder="1" applyAlignment="1" applyProtection="1">
      <alignment horizontal="center" vertic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31" fillId="0" borderId="0" xfId="0" applyFont="1"/>
  </cellXfs>
  <cellStyles count="3">
    <cellStyle name="Hypertextový odkaz" xfId="2" builtinId="8"/>
    <cellStyle name="Normální" xfId="0" builtinId="0"/>
    <cellStyle name="normální 2" xfId="1" xr:uid="{7D95127B-210B-4135-89F3-BC770D3228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152400</xdr:rowOff>
    </xdr:from>
    <xdr:to>
      <xdr:col>2</xdr:col>
      <xdr:colOff>529167</xdr:colOff>
      <xdr:row>1</xdr:row>
      <xdr:rowOff>533561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95499FD-D621-41AE-A596-ECF48C9FD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" y="335280"/>
          <a:ext cx="1001607" cy="381161"/>
        </a:xfrm>
        <a:prstGeom prst="rect">
          <a:avLst/>
        </a:prstGeom>
      </xdr:spPr>
    </xdr:pic>
    <xdr:clientData/>
  </xdr:twoCellAnchor>
  <xdr:twoCellAnchor editAs="oneCell">
    <xdr:from>
      <xdr:col>6</xdr:col>
      <xdr:colOff>1307070</xdr:colOff>
      <xdr:row>3</xdr:row>
      <xdr:rowOff>114300</xdr:rowOff>
    </xdr:from>
    <xdr:to>
      <xdr:col>7</xdr:col>
      <xdr:colOff>992913</xdr:colOff>
      <xdr:row>9</xdr:row>
      <xdr:rowOff>26670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DF2CC60-A1B5-4D3A-825F-085F22DC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7550" y="1143000"/>
          <a:ext cx="1080303" cy="853440"/>
        </a:xfrm>
        <a:prstGeom prst="rect">
          <a:avLst/>
        </a:prstGeom>
      </xdr:spPr>
    </xdr:pic>
    <xdr:clientData/>
  </xdr:twoCellAnchor>
  <xdr:twoCellAnchor editAs="oneCell">
    <xdr:from>
      <xdr:col>7</xdr:col>
      <xdr:colOff>49594</xdr:colOff>
      <xdr:row>13</xdr:row>
      <xdr:rowOff>0</xdr:rowOff>
    </xdr:from>
    <xdr:to>
      <xdr:col>7</xdr:col>
      <xdr:colOff>731653</xdr:colOff>
      <xdr:row>18</xdr:row>
      <xdr:rowOff>6387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24A9881-156A-4A2C-879B-D4C5ACCF0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4534" y="2499360"/>
          <a:ext cx="682059" cy="817917"/>
        </a:xfrm>
        <a:prstGeom prst="rect">
          <a:avLst/>
        </a:prstGeom>
      </xdr:spPr>
    </xdr:pic>
    <xdr:clientData/>
  </xdr:twoCellAnchor>
  <xdr:twoCellAnchor editAs="oneCell">
    <xdr:from>
      <xdr:col>7</xdr:col>
      <xdr:colOff>110837</xdr:colOff>
      <xdr:row>20</xdr:row>
      <xdr:rowOff>62345</xdr:rowOff>
    </xdr:from>
    <xdr:to>
      <xdr:col>7</xdr:col>
      <xdr:colOff>668483</xdr:colOff>
      <xdr:row>26</xdr:row>
      <xdr:rowOff>64770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9D892D2-092F-421C-9F94-5DE7AF1E98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658" t="1608" r="5482" b="4042"/>
        <a:stretch/>
      </xdr:blipFill>
      <xdr:spPr>
        <a:xfrm>
          <a:off x="5347855" y="3657600"/>
          <a:ext cx="557646" cy="974667"/>
        </a:xfrm>
        <a:prstGeom prst="rect">
          <a:avLst/>
        </a:prstGeom>
      </xdr:spPr>
    </xdr:pic>
    <xdr:clientData/>
  </xdr:twoCellAnchor>
  <xdr:twoCellAnchor editAs="oneCell">
    <xdr:from>
      <xdr:col>7</xdr:col>
      <xdr:colOff>668483</xdr:colOff>
      <xdr:row>20</xdr:row>
      <xdr:rowOff>69274</xdr:rowOff>
    </xdr:from>
    <xdr:to>
      <xdr:col>7</xdr:col>
      <xdr:colOff>1024971</xdr:colOff>
      <xdr:row>22</xdr:row>
      <xdr:rowOff>137853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7965B9F-BE04-4FD7-913E-01EC5E7D34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524"/>
        <a:stretch/>
      </xdr:blipFill>
      <xdr:spPr>
        <a:xfrm>
          <a:off x="5905501" y="3664529"/>
          <a:ext cx="356488" cy="373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167640</xdr:rowOff>
    </xdr:from>
    <xdr:to>
      <xdr:col>2</xdr:col>
      <xdr:colOff>275828</xdr:colOff>
      <xdr:row>1</xdr:row>
      <xdr:rowOff>367390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5A0489A-3817-447F-8E0B-51FF184D6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67640"/>
          <a:ext cx="992108" cy="367390"/>
        </a:xfrm>
        <a:prstGeom prst="rect">
          <a:avLst/>
        </a:prstGeom>
      </xdr:spPr>
    </xdr:pic>
    <xdr:clientData/>
  </xdr:twoCellAnchor>
  <xdr:twoCellAnchor editAs="oneCell">
    <xdr:from>
      <xdr:col>5</xdr:col>
      <xdr:colOff>315789</xdr:colOff>
      <xdr:row>3</xdr:row>
      <xdr:rowOff>114301</xdr:rowOff>
    </xdr:from>
    <xdr:to>
      <xdr:col>7</xdr:col>
      <xdr:colOff>80011</xdr:colOff>
      <xdr:row>16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7E2D8F9-81A0-4484-B330-280191C08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309" y="868681"/>
          <a:ext cx="2564572" cy="19202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22860</xdr:rowOff>
    </xdr:from>
    <xdr:to>
      <xdr:col>2</xdr:col>
      <xdr:colOff>340893</xdr:colOff>
      <xdr:row>1</xdr:row>
      <xdr:rowOff>388620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DD6E7E8-B5DF-4AC7-BF7D-E5FB1D476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" y="205740"/>
          <a:ext cx="904773" cy="365760"/>
        </a:xfrm>
        <a:prstGeom prst="rect">
          <a:avLst/>
        </a:prstGeom>
      </xdr:spPr>
    </xdr:pic>
    <xdr:clientData/>
  </xdr:twoCellAnchor>
  <xdr:twoCellAnchor editAs="oneCell">
    <xdr:from>
      <xdr:col>6</xdr:col>
      <xdr:colOff>396241</xdr:colOff>
      <xdr:row>4</xdr:row>
      <xdr:rowOff>7620</xdr:rowOff>
    </xdr:from>
    <xdr:to>
      <xdr:col>7</xdr:col>
      <xdr:colOff>2075047</xdr:colOff>
      <xdr:row>15</xdr:row>
      <xdr:rowOff>30663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33BC54C-D147-4F02-8D7B-F55478038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1" y="960120"/>
          <a:ext cx="2185536" cy="1828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21221-4E62-409A-A362-80FFF43C9C59}">
  <sheetPr>
    <tabColor rgb="FFC00000"/>
    <pageSetUpPr fitToPage="1"/>
  </sheetPr>
  <dimension ref="B2:H28"/>
  <sheetViews>
    <sheetView showGridLines="0" tabSelected="1" zoomScaleNormal="100" workbookViewId="0"/>
  </sheetViews>
  <sheetFormatPr defaultColWidth="8.85546875" defaultRowHeight="12" x14ac:dyDescent="0.2"/>
  <cols>
    <col min="1" max="1" width="3.7109375" style="1" customWidth="1"/>
    <col min="2" max="2" width="8" style="1" customWidth="1"/>
    <col min="3" max="3" width="14.42578125" style="1" customWidth="1"/>
    <col min="4" max="4" width="11.140625" style="1" customWidth="1"/>
    <col min="5" max="5" width="8.85546875" style="1"/>
    <col min="6" max="6" width="9.85546875" style="1" customWidth="1"/>
    <col min="7" max="7" width="20.28515625" style="1" customWidth="1"/>
    <col min="8" max="8" width="17.140625" style="1" customWidth="1"/>
    <col min="9" max="9" width="4" style="1" customWidth="1"/>
    <col min="10" max="16384" width="8.85546875" style="1"/>
  </cols>
  <sheetData>
    <row r="2" spans="2:8" ht="54" customHeight="1" x14ac:dyDescent="0.2">
      <c r="H2" s="7" t="s">
        <v>0</v>
      </c>
    </row>
    <row r="3" spans="2:8" ht="15.75" x14ac:dyDescent="0.2">
      <c r="B3" s="86" t="s">
        <v>1</v>
      </c>
      <c r="C3" s="86"/>
      <c r="D3" s="86"/>
      <c r="E3" s="86"/>
      <c r="F3" s="86"/>
      <c r="G3" s="86"/>
      <c r="H3" s="86"/>
    </row>
    <row r="5" spans="2:8" x14ac:dyDescent="0.2">
      <c r="B5" s="5" t="s">
        <v>47</v>
      </c>
      <c r="E5" s="25">
        <v>3</v>
      </c>
      <c r="F5" s="11" t="s">
        <v>48</v>
      </c>
    </row>
    <row r="7" spans="2:8" x14ac:dyDescent="0.2">
      <c r="B7" s="10" t="s">
        <v>55</v>
      </c>
      <c r="C7" s="10" t="s">
        <v>53</v>
      </c>
      <c r="D7" s="10" t="s">
        <v>54</v>
      </c>
    </row>
    <row r="8" spans="2:8" x14ac:dyDescent="0.2">
      <c r="B8" s="19" t="str">
        <f>'výpočet úvodní'!P14</f>
        <v>13722</v>
      </c>
      <c r="C8" s="6" t="str">
        <f>'výpočet úvodní'!Q14</f>
        <v>EXP SL025241</v>
      </c>
      <c r="D8" s="6" t="str">
        <f>'výpočet úvodní'!R14</f>
        <v>Expanzní nádoba  25 l - SL, 8 bar, 3/4" M - solar</v>
      </c>
      <c r="E8" s="13"/>
      <c r="F8" s="13"/>
      <c r="G8" s="13"/>
    </row>
    <row r="9" spans="2:8" ht="17.100000000000001" customHeight="1" x14ac:dyDescent="0.2">
      <c r="B9" s="90" t="s">
        <v>172</v>
      </c>
    </row>
    <row r="10" spans="2:8" x14ac:dyDescent="0.2">
      <c r="B10" s="12" t="s">
        <v>75</v>
      </c>
      <c r="C10" s="12"/>
      <c r="D10" s="12"/>
    </row>
    <row r="11" spans="2:8" x14ac:dyDescent="0.2">
      <c r="B11" s="8"/>
      <c r="C11" s="8"/>
      <c r="D11" s="8"/>
      <c r="E11" s="8"/>
      <c r="F11" s="8"/>
      <c r="G11" s="8"/>
      <c r="H11" s="8"/>
    </row>
    <row r="13" spans="2:8" x14ac:dyDescent="0.2">
      <c r="B13" s="5" t="s">
        <v>51</v>
      </c>
      <c r="E13" s="25">
        <v>200</v>
      </c>
      <c r="F13" s="11" t="s">
        <v>76</v>
      </c>
    </row>
    <row r="15" spans="2:8" x14ac:dyDescent="0.2">
      <c r="B15" s="10" t="s">
        <v>55</v>
      </c>
      <c r="C15" s="10" t="s">
        <v>53</v>
      </c>
      <c r="D15" s="10" t="s">
        <v>54</v>
      </c>
      <c r="E15" s="5"/>
    </row>
    <row r="16" spans="2:8" x14ac:dyDescent="0.2">
      <c r="B16" s="6" t="str">
        <f>'výpočet úvodní'!P36</f>
        <v>13736</v>
      </c>
      <c r="C16" s="6" t="str">
        <f>'výpočet úvodní'!Q36</f>
        <v>EXP HS025231</v>
      </c>
      <c r="D16" s="6" t="str">
        <f>'výpočet úvodní'!R36</f>
        <v>Expanzní nádoba  25 l - HS, 6 bar, 3/4" M</v>
      </c>
      <c r="E16" s="5"/>
    </row>
    <row r="17" spans="2:8" ht="17.100000000000001" customHeight="1" x14ac:dyDescent="0.2">
      <c r="B17" s="90" t="s">
        <v>173</v>
      </c>
      <c r="C17" s="5"/>
      <c r="D17" s="5"/>
      <c r="E17" s="5"/>
    </row>
    <row r="18" spans="2:8" x14ac:dyDescent="0.2">
      <c r="B18" s="87" t="s">
        <v>75</v>
      </c>
      <c r="C18" s="87"/>
      <c r="D18" s="87"/>
      <c r="E18" s="5"/>
    </row>
    <row r="19" spans="2:8" x14ac:dyDescent="0.2">
      <c r="B19" s="16"/>
      <c r="C19" s="16"/>
      <c r="D19" s="16"/>
      <c r="E19" s="16"/>
      <c r="F19" s="8"/>
      <c r="G19" s="8"/>
      <c r="H19" s="8"/>
    </row>
    <row r="20" spans="2:8" x14ac:dyDescent="0.2">
      <c r="B20" s="5"/>
      <c r="C20" s="5"/>
      <c r="D20" s="5"/>
      <c r="E20" s="5"/>
    </row>
    <row r="21" spans="2:8" x14ac:dyDescent="0.2">
      <c r="B21" s="5" t="s">
        <v>50</v>
      </c>
      <c r="C21" s="5"/>
      <c r="D21" s="5"/>
      <c r="E21" s="25">
        <v>200</v>
      </c>
      <c r="F21" s="11" t="s">
        <v>49</v>
      </c>
    </row>
    <row r="22" spans="2:8" x14ac:dyDescent="0.2">
      <c r="B22" s="5"/>
      <c r="C22" s="5"/>
      <c r="D22" s="5"/>
      <c r="E22" s="5"/>
    </row>
    <row r="23" spans="2:8" x14ac:dyDescent="0.2">
      <c r="B23" s="10" t="s">
        <v>55</v>
      </c>
      <c r="C23" s="10" t="s">
        <v>53</v>
      </c>
      <c r="D23" s="10" t="s">
        <v>54</v>
      </c>
      <c r="E23" s="5"/>
    </row>
    <row r="24" spans="2:8" x14ac:dyDescent="0.2">
      <c r="B24" s="6" t="str">
        <f>'výpočet úvodní'!P53</f>
        <v>13755</v>
      </c>
      <c r="C24" s="6" t="str">
        <f>'výpočet úvodní'!Q53</f>
        <v>EXP HW008223</v>
      </c>
      <c r="D24" s="6" t="str">
        <f>'výpočet úvodní'!R53</f>
        <v>Expanzní nádoba 8 l - HW, 8 bar, 3/4" M, na pitnou vodu</v>
      </c>
      <c r="E24" s="5"/>
    </row>
    <row r="25" spans="2:8" ht="17.100000000000001" customHeight="1" x14ac:dyDescent="0.2">
      <c r="B25" s="90" t="s">
        <v>174</v>
      </c>
      <c r="C25" s="6"/>
      <c r="D25" s="6"/>
      <c r="E25" s="5"/>
    </row>
    <row r="26" spans="2:8" x14ac:dyDescent="0.2">
      <c r="B26" s="87"/>
      <c r="C26" s="87"/>
      <c r="D26" s="87"/>
      <c r="E26" s="5"/>
    </row>
    <row r="27" spans="2:8" x14ac:dyDescent="0.2">
      <c r="B27" s="16"/>
      <c r="C27" s="16"/>
      <c r="D27" s="16"/>
      <c r="E27" s="16"/>
      <c r="F27" s="8"/>
      <c r="G27" s="8"/>
      <c r="H27" s="8"/>
    </row>
    <row r="28" spans="2:8" x14ac:dyDescent="0.2">
      <c r="B28" s="4"/>
      <c r="C28" s="4"/>
      <c r="D28" s="4"/>
      <c r="E28" s="4"/>
      <c r="F28" s="4"/>
      <c r="G28" s="4"/>
      <c r="H28" s="9" t="s">
        <v>127</v>
      </c>
    </row>
  </sheetData>
  <mergeCells count="3">
    <mergeCell ref="B3:H3"/>
    <mergeCell ref="B18:D18"/>
    <mergeCell ref="B26:D26"/>
  </mergeCells>
  <hyperlinks>
    <hyperlink ref="B10:D10" location="'EN pro solár'!A1" display="Pro přesnější návrh klikněte zde" xr:uid="{578AAE1A-7A66-4786-91D4-9598D3E52572}"/>
    <hyperlink ref="B18:D18" location="'EN pro vytápění'!A1" display="Pro přesnější návrh klikněte zde" xr:uid="{3F61C098-3496-4277-A33B-2058B1BE3CFF}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25F9-E03C-4E9B-B461-962CECEEEE96}">
  <sheetPr>
    <pageSetUpPr fitToPage="1"/>
  </sheetPr>
  <dimension ref="A1:O45"/>
  <sheetViews>
    <sheetView showGridLines="0" zoomScaleNormal="100" workbookViewId="0"/>
  </sheetViews>
  <sheetFormatPr defaultColWidth="8.85546875" defaultRowHeight="12" x14ac:dyDescent="0.2"/>
  <cols>
    <col min="1" max="1" width="4.28515625" style="1" customWidth="1"/>
    <col min="2" max="2" width="11.5703125" style="1" customWidth="1"/>
    <col min="3" max="3" width="13.85546875" style="1" customWidth="1"/>
    <col min="4" max="4" width="38.42578125" style="1" customWidth="1"/>
    <col min="5" max="5" width="10" style="5" customWidth="1"/>
    <col min="6" max="6" width="14.7109375" style="34" customWidth="1"/>
    <col min="7" max="7" width="26.140625" style="1" customWidth="1"/>
    <col min="8" max="8" width="4.7109375" style="1" customWidth="1"/>
    <col min="9" max="9" width="41.42578125" style="1" customWidth="1"/>
    <col min="10" max="10" width="4.7109375" style="56" customWidth="1"/>
    <col min="11" max="11" width="8.85546875" style="34"/>
    <col min="12" max="12" width="6.140625" style="33" customWidth="1"/>
    <col min="13" max="13" width="8.28515625" style="56" customWidth="1"/>
    <col min="14" max="14" width="4.28515625" style="1" customWidth="1"/>
    <col min="15" max="16384" width="8.85546875" style="1"/>
  </cols>
  <sheetData>
    <row r="1" spans="1:15" x14ac:dyDescent="0.2">
      <c r="E1" s="1"/>
      <c r="F1" s="1"/>
    </row>
    <row r="2" spans="1:15" ht="36" x14ac:dyDescent="0.2">
      <c r="E2" s="1"/>
      <c r="G2" s="7" t="s">
        <v>0</v>
      </c>
      <c r="H2" s="7"/>
    </row>
    <row r="3" spans="1:15" ht="15" x14ac:dyDescent="0.2">
      <c r="B3" s="88" t="s">
        <v>80</v>
      </c>
      <c r="C3" s="88"/>
      <c r="D3" s="88"/>
      <c r="E3" s="88"/>
      <c r="F3" s="88"/>
      <c r="G3" s="88"/>
      <c r="H3" s="48"/>
      <c r="I3" s="70" t="s">
        <v>92</v>
      </c>
      <c r="J3" s="60"/>
      <c r="K3" s="59"/>
    </row>
    <row r="4" spans="1:15" x14ac:dyDescent="0.2">
      <c r="A4" s="36"/>
      <c r="B4" s="36"/>
      <c r="C4" s="36"/>
      <c r="D4" s="36"/>
      <c r="E4" s="36"/>
      <c r="F4" s="49"/>
      <c r="I4" s="71" t="s">
        <v>94</v>
      </c>
      <c r="J4" s="60"/>
      <c r="K4" s="59"/>
      <c r="L4" s="83" t="s">
        <v>105</v>
      </c>
      <c r="M4" s="66" t="s">
        <v>103</v>
      </c>
    </row>
    <row r="5" spans="1:15" x14ac:dyDescent="0.2">
      <c r="B5" s="17" t="s">
        <v>56</v>
      </c>
      <c r="C5" s="17"/>
      <c r="E5" s="84">
        <f>$M$10</f>
        <v>4.1999999999999993</v>
      </c>
      <c r="F5" s="18" t="s">
        <v>49</v>
      </c>
      <c r="G5" s="28"/>
      <c r="H5" s="28"/>
      <c r="I5" s="69" t="s">
        <v>111</v>
      </c>
      <c r="J5" s="60">
        <v>1.4</v>
      </c>
      <c r="K5" s="59" t="s">
        <v>49</v>
      </c>
      <c r="L5" s="81">
        <v>3</v>
      </c>
      <c r="M5" s="63">
        <f>J5*L5</f>
        <v>4.1999999999999993</v>
      </c>
      <c r="N5" s="50"/>
      <c r="O5" s="50"/>
    </row>
    <row r="6" spans="1:15" x14ac:dyDescent="0.2">
      <c r="G6" s="28"/>
      <c r="H6" s="28"/>
      <c r="I6" s="69" t="s">
        <v>93</v>
      </c>
      <c r="J6" s="60">
        <v>1.7</v>
      </c>
      <c r="K6" s="59" t="s">
        <v>49</v>
      </c>
      <c r="L6" s="81">
        <v>0</v>
      </c>
      <c r="M6" s="73">
        <f t="shared" ref="M6:M9" si="0">J6*L6</f>
        <v>0</v>
      </c>
      <c r="N6" s="50"/>
      <c r="O6" s="50"/>
    </row>
    <row r="7" spans="1:15" x14ac:dyDescent="0.2">
      <c r="B7" s="17" t="s">
        <v>87</v>
      </c>
      <c r="C7" s="17"/>
      <c r="E7" s="26">
        <v>10</v>
      </c>
      <c r="F7" s="18" t="s">
        <v>49</v>
      </c>
      <c r="G7" s="28"/>
      <c r="H7" s="28"/>
      <c r="I7" s="69" t="s">
        <v>112</v>
      </c>
      <c r="J7" s="60">
        <v>2.4</v>
      </c>
      <c r="K7" s="59" t="s">
        <v>49</v>
      </c>
      <c r="L7" s="81">
        <v>0</v>
      </c>
      <c r="M7" s="63">
        <f t="shared" si="0"/>
        <v>0</v>
      </c>
      <c r="N7" s="37"/>
      <c r="O7" s="37"/>
    </row>
    <row r="8" spans="1:15" x14ac:dyDescent="0.2">
      <c r="G8" s="28"/>
      <c r="H8" s="28"/>
      <c r="I8" s="69" t="s">
        <v>109</v>
      </c>
      <c r="J8" s="60">
        <v>0.92</v>
      </c>
      <c r="K8" s="59" t="s">
        <v>49</v>
      </c>
      <c r="L8" s="81">
        <v>0</v>
      </c>
      <c r="M8" s="73">
        <f t="shared" si="0"/>
        <v>0</v>
      </c>
      <c r="N8" s="37"/>
      <c r="O8" s="37"/>
    </row>
    <row r="9" spans="1:15" x14ac:dyDescent="0.2">
      <c r="B9" s="17" t="s">
        <v>124</v>
      </c>
      <c r="C9" s="17"/>
      <c r="E9" s="84">
        <f>$M$25</f>
        <v>4.0200000000000005</v>
      </c>
      <c r="F9" s="18" t="s">
        <v>49</v>
      </c>
      <c r="G9" s="28"/>
      <c r="H9" s="28"/>
      <c r="I9" s="69" t="s">
        <v>110</v>
      </c>
      <c r="J9" s="60">
        <v>1.37</v>
      </c>
      <c r="K9" s="59" t="s">
        <v>49</v>
      </c>
      <c r="L9" s="81">
        <v>0</v>
      </c>
      <c r="M9" s="63">
        <f t="shared" si="0"/>
        <v>0</v>
      </c>
      <c r="N9" s="37"/>
      <c r="O9" s="37"/>
    </row>
    <row r="10" spans="1:15" x14ac:dyDescent="0.2">
      <c r="B10" s="17"/>
      <c r="C10" s="17"/>
      <c r="E10" s="85"/>
      <c r="F10" s="18"/>
      <c r="G10" s="28"/>
      <c r="H10" s="28"/>
      <c r="I10" s="69"/>
      <c r="J10" s="60"/>
      <c r="K10" s="59"/>
      <c r="L10" s="81"/>
      <c r="M10" s="77">
        <f>SUM(M5:M9)</f>
        <v>4.1999999999999993</v>
      </c>
      <c r="N10" s="78" t="s">
        <v>49</v>
      </c>
      <c r="O10" s="37"/>
    </row>
    <row r="11" spans="1:15" x14ac:dyDescent="0.2">
      <c r="B11" s="17" t="s">
        <v>125</v>
      </c>
      <c r="C11" s="17"/>
      <c r="E11" s="84">
        <f>$M$37</f>
        <v>1.02</v>
      </c>
      <c r="F11" s="18" t="s">
        <v>49</v>
      </c>
      <c r="G11" s="28"/>
      <c r="H11" s="28"/>
      <c r="I11" s="71" t="s">
        <v>87</v>
      </c>
      <c r="J11" s="60"/>
      <c r="K11" s="72"/>
      <c r="L11" s="81"/>
      <c r="M11" s="63"/>
      <c r="N11" s="37"/>
      <c r="O11" s="37"/>
    </row>
    <row r="12" spans="1:15" x14ac:dyDescent="0.2">
      <c r="I12" s="69" t="s">
        <v>95</v>
      </c>
      <c r="J12" s="79">
        <v>10</v>
      </c>
      <c r="K12" s="80" t="s">
        <v>49</v>
      </c>
      <c r="O12" s="37"/>
    </row>
    <row r="13" spans="1:15" x14ac:dyDescent="0.2">
      <c r="B13" s="17" t="s">
        <v>97</v>
      </c>
      <c r="C13" s="17"/>
      <c r="E13" s="26">
        <v>8</v>
      </c>
      <c r="F13" s="18" t="s">
        <v>57</v>
      </c>
      <c r="I13" s="69" t="s">
        <v>96</v>
      </c>
      <c r="J13" s="79">
        <v>9</v>
      </c>
      <c r="K13" s="80" t="s">
        <v>49</v>
      </c>
      <c r="L13" s="63"/>
      <c r="N13" s="37"/>
      <c r="O13" s="37"/>
    </row>
    <row r="14" spans="1:15" x14ac:dyDescent="0.2">
      <c r="G14" s="28"/>
      <c r="H14" s="28"/>
      <c r="L14" s="63"/>
      <c r="M14" s="63"/>
      <c r="N14" s="37"/>
      <c r="O14" s="37"/>
    </row>
    <row r="15" spans="1:15" x14ac:dyDescent="0.2">
      <c r="B15" s="17" t="s">
        <v>108</v>
      </c>
      <c r="C15" s="17"/>
      <c r="E15" s="26">
        <v>6</v>
      </c>
      <c r="F15" s="18" t="s">
        <v>58</v>
      </c>
      <c r="I15" s="71" t="s">
        <v>86</v>
      </c>
      <c r="J15" s="60"/>
      <c r="K15" s="59"/>
      <c r="L15" s="83" t="s">
        <v>122</v>
      </c>
      <c r="M15" s="63" t="s">
        <v>103</v>
      </c>
      <c r="N15" s="37"/>
      <c r="O15" s="37"/>
    </row>
    <row r="16" spans="1:15" x14ac:dyDescent="0.2">
      <c r="B16" s="17"/>
      <c r="C16" s="17"/>
      <c r="E16" s="58"/>
      <c r="F16" s="18"/>
      <c r="I16" s="69" t="s">
        <v>113</v>
      </c>
      <c r="J16" s="60">
        <v>0.13300000000000001</v>
      </c>
      <c r="K16" s="59" t="s">
        <v>104</v>
      </c>
      <c r="L16" s="82">
        <v>0</v>
      </c>
      <c r="M16" s="63">
        <f>J16*L16</f>
        <v>0</v>
      </c>
      <c r="N16" s="37"/>
      <c r="O16" s="37"/>
    </row>
    <row r="17" spans="2:15" x14ac:dyDescent="0.2">
      <c r="B17" s="17" t="s">
        <v>107</v>
      </c>
      <c r="C17" s="17"/>
      <c r="E17" s="26">
        <v>0.09</v>
      </c>
      <c r="F17" s="18"/>
      <c r="I17" s="69" t="s">
        <v>114</v>
      </c>
      <c r="J17" s="60">
        <v>0.20100000000000001</v>
      </c>
      <c r="K17" s="59" t="s">
        <v>104</v>
      </c>
      <c r="L17" s="82">
        <v>20</v>
      </c>
      <c r="M17" s="63">
        <f t="shared" ref="M17:M24" si="1">J17*L17</f>
        <v>4.0200000000000005</v>
      </c>
      <c r="N17" s="37"/>
      <c r="O17" s="37"/>
    </row>
    <row r="18" spans="2:15" x14ac:dyDescent="0.2">
      <c r="I18" s="69" t="s">
        <v>115</v>
      </c>
      <c r="J18" s="60">
        <v>0.314</v>
      </c>
      <c r="K18" s="59" t="s">
        <v>104</v>
      </c>
      <c r="L18" s="82">
        <v>0</v>
      </c>
      <c r="M18" s="63">
        <f t="shared" si="1"/>
        <v>0</v>
      </c>
      <c r="N18" s="40"/>
      <c r="O18" s="37"/>
    </row>
    <row r="19" spans="2:15" ht="12.6" customHeight="1" x14ac:dyDescent="0.2">
      <c r="B19" s="20" t="s">
        <v>55</v>
      </c>
      <c r="C19" s="20" t="s">
        <v>53</v>
      </c>
      <c r="D19" s="20" t="s">
        <v>54</v>
      </c>
      <c r="E19" s="14"/>
      <c r="I19" s="69" t="s">
        <v>116</v>
      </c>
      <c r="J19" s="60">
        <v>0.49099999999999999</v>
      </c>
      <c r="K19" s="59" t="s">
        <v>104</v>
      </c>
      <c r="L19" s="82">
        <v>0</v>
      </c>
      <c r="M19" s="63">
        <f t="shared" si="1"/>
        <v>0</v>
      </c>
      <c r="N19" s="51"/>
      <c r="O19" s="40"/>
    </row>
    <row r="20" spans="2:15" x14ac:dyDescent="0.2">
      <c r="B20" s="19" t="str">
        <f>'výpočet solár'!O14</f>
        <v>13721</v>
      </c>
      <c r="C20" s="19" t="str">
        <f>'výpočet solár'!P14</f>
        <v>EXP SL018241</v>
      </c>
      <c r="D20" s="19" t="str">
        <f>'výpočet solár'!Q14</f>
        <v>Expanzní nádoba  18 l - SL, 8 bar, 3/4" M - solar</v>
      </c>
      <c r="E20" s="6"/>
      <c r="I20" s="69" t="s">
        <v>117</v>
      </c>
      <c r="J20" s="60">
        <v>0.80400000000000005</v>
      </c>
      <c r="K20" s="59" t="s">
        <v>104</v>
      </c>
      <c r="L20" s="82">
        <v>0</v>
      </c>
      <c r="M20" s="63">
        <f t="shared" si="1"/>
        <v>0</v>
      </c>
      <c r="O20" s="51"/>
    </row>
    <row r="21" spans="2:15" x14ac:dyDescent="0.2">
      <c r="I21" s="69" t="s">
        <v>118</v>
      </c>
      <c r="J21" s="60">
        <v>0.17</v>
      </c>
      <c r="K21" s="59" t="s">
        <v>104</v>
      </c>
      <c r="L21" s="82">
        <v>0</v>
      </c>
      <c r="M21" s="63">
        <f t="shared" si="1"/>
        <v>0</v>
      </c>
    </row>
    <row r="22" spans="2:15" ht="15" x14ac:dyDescent="0.25">
      <c r="B22" s="53" t="s">
        <v>77</v>
      </c>
      <c r="C22" s="53"/>
      <c r="D22" s="54" t="s">
        <v>81</v>
      </c>
      <c r="E22" s="55">
        <f>$K$45</f>
        <v>14.203897435897433</v>
      </c>
      <c r="F22" s="27" t="s">
        <v>49</v>
      </c>
      <c r="I22" s="69" t="s">
        <v>119</v>
      </c>
      <c r="J22" s="60">
        <v>0.24</v>
      </c>
      <c r="K22" s="59" t="s">
        <v>104</v>
      </c>
      <c r="L22" s="82">
        <v>0</v>
      </c>
      <c r="M22" s="63">
        <f t="shared" si="1"/>
        <v>0</v>
      </c>
    </row>
    <row r="23" spans="2:15" x14ac:dyDescent="0.2">
      <c r="B23" s="45"/>
      <c r="C23" s="45"/>
      <c r="D23" s="45"/>
      <c r="E23" s="46"/>
      <c r="F23" s="52"/>
      <c r="G23" s="45"/>
      <c r="H23" s="4"/>
      <c r="I23" s="69" t="s">
        <v>120</v>
      </c>
      <c r="J23" s="60">
        <v>0.38</v>
      </c>
      <c r="K23" s="59" t="s">
        <v>104</v>
      </c>
      <c r="L23" s="82">
        <v>0</v>
      </c>
      <c r="M23" s="63">
        <f t="shared" si="1"/>
        <v>0</v>
      </c>
    </row>
    <row r="24" spans="2:15" ht="10.15" customHeight="1" x14ac:dyDescent="0.2">
      <c r="I24" s="69" t="s">
        <v>121</v>
      </c>
      <c r="J24" s="60">
        <v>0.68</v>
      </c>
      <c r="K24" s="59" t="s">
        <v>104</v>
      </c>
      <c r="L24" s="82">
        <v>0</v>
      </c>
      <c r="M24" s="63">
        <f t="shared" si="1"/>
        <v>0</v>
      </c>
    </row>
    <row r="25" spans="2:15" ht="10.15" customHeight="1" x14ac:dyDescent="0.2">
      <c r="G25" s="34"/>
      <c r="M25" s="77">
        <f>SUM(M16:M24)</f>
        <v>4.0200000000000005</v>
      </c>
      <c r="N25" s="78" t="s">
        <v>49</v>
      </c>
    </row>
    <row r="26" spans="2:15" ht="11.45" customHeight="1" x14ac:dyDescent="0.2">
      <c r="J26" s="1"/>
      <c r="K26" s="1"/>
      <c r="L26" s="1"/>
    </row>
    <row r="27" spans="2:15" x14ac:dyDescent="0.2">
      <c r="I27" s="71" t="s">
        <v>123</v>
      </c>
      <c r="J27" s="60"/>
      <c r="K27" s="59"/>
      <c r="L27" s="83" t="s">
        <v>122</v>
      </c>
      <c r="M27" s="63" t="s">
        <v>103</v>
      </c>
      <c r="N27" s="37"/>
    </row>
    <row r="28" spans="2:15" x14ac:dyDescent="0.2">
      <c r="I28" s="69" t="s">
        <v>113</v>
      </c>
      <c r="J28" s="60">
        <v>0.13300000000000001</v>
      </c>
      <c r="K28" s="59" t="s">
        <v>104</v>
      </c>
      <c r="L28" s="82">
        <v>0</v>
      </c>
      <c r="M28" s="63">
        <f>J28*L28</f>
        <v>0</v>
      </c>
      <c r="N28" s="37"/>
    </row>
    <row r="29" spans="2:15" x14ac:dyDescent="0.2">
      <c r="I29" s="69" t="s">
        <v>114</v>
      </c>
      <c r="J29" s="60">
        <v>0.20100000000000001</v>
      </c>
      <c r="K29" s="59" t="s">
        <v>104</v>
      </c>
      <c r="L29" s="82">
        <v>0</v>
      </c>
      <c r="M29" s="63">
        <f t="shared" ref="M29:M36" si="2">J29*L29</f>
        <v>0</v>
      </c>
      <c r="N29" s="37"/>
    </row>
    <row r="30" spans="2:15" x14ac:dyDescent="0.2">
      <c r="I30" s="69" t="s">
        <v>115</v>
      </c>
      <c r="J30" s="60">
        <v>0.314</v>
      </c>
      <c r="K30" s="59" t="s">
        <v>104</v>
      </c>
      <c r="L30" s="82">
        <v>0</v>
      </c>
      <c r="M30" s="63">
        <f t="shared" si="2"/>
        <v>0</v>
      </c>
      <c r="N30" s="40"/>
    </row>
    <row r="31" spans="2:15" x14ac:dyDescent="0.2">
      <c r="B31" s="20"/>
      <c r="C31" s="20"/>
      <c r="D31" s="20"/>
      <c r="E31" s="20"/>
      <c r="I31" s="69" t="s">
        <v>116</v>
      </c>
      <c r="J31" s="60">
        <v>0.49099999999999999</v>
      </c>
      <c r="K31" s="59" t="s">
        <v>104</v>
      </c>
      <c r="L31" s="82">
        <v>0</v>
      </c>
      <c r="M31" s="63">
        <f t="shared" si="2"/>
        <v>0</v>
      </c>
      <c r="N31" s="51"/>
    </row>
    <row r="32" spans="2:15" x14ac:dyDescent="0.2">
      <c r="I32" s="69" t="s">
        <v>117</v>
      </c>
      <c r="J32" s="60">
        <v>0.80400000000000005</v>
      </c>
      <c r="K32" s="59" t="s">
        <v>104</v>
      </c>
      <c r="L32" s="82">
        <v>0</v>
      </c>
      <c r="M32" s="63">
        <f t="shared" si="2"/>
        <v>0</v>
      </c>
    </row>
    <row r="33" spans="9:14" x14ac:dyDescent="0.2">
      <c r="I33" s="69" t="s">
        <v>118</v>
      </c>
      <c r="J33" s="60">
        <v>0.17</v>
      </c>
      <c r="K33" s="59" t="s">
        <v>104</v>
      </c>
      <c r="L33" s="82">
        <v>6</v>
      </c>
      <c r="M33" s="63">
        <f t="shared" si="2"/>
        <v>1.02</v>
      </c>
    </row>
    <row r="34" spans="9:14" x14ac:dyDescent="0.2">
      <c r="I34" s="69" t="s">
        <v>119</v>
      </c>
      <c r="J34" s="60">
        <v>0.24</v>
      </c>
      <c r="K34" s="59" t="s">
        <v>104</v>
      </c>
      <c r="L34" s="82">
        <v>0</v>
      </c>
      <c r="M34" s="63">
        <f t="shared" si="2"/>
        <v>0</v>
      </c>
    </row>
    <row r="35" spans="9:14" x14ac:dyDescent="0.2">
      <c r="I35" s="69" t="s">
        <v>120</v>
      </c>
      <c r="J35" s="60">
        <v>0.38</v>
      </c>
      <c r="K35" s="59" t="s">
        <v>104</v>
      </c>
      <c r="L35" s="82">
        <v>0</v>
      </c>
      <c r="M35" s="63">
        <f t="shared" si="2"/>
        <v>0</v>
      </c>
    </row>
    <row r="36" spans="9:14" x14ac:dyDescent="0.2">
      <c r="I36" s="69" t="s">
        <v>121</v>
      </c>
      <c r="J36" s="60">
        <v>0.68</v>
      </c>
      <c r="K36" s="59" t="s">
        <v>104</v>
      </c>
      <c r="L36" s="82">
        <v>0</v>
      </c>
      <c r="M36" s="63">
        <f t="shared" si="2"/>
        <v>0</v>
      </c>
    </row>
    <row r="37" spans="9:14" x14ac:dyDescent="0.2">
      <c r="M37" s="77">
        <f>SUM(M28:M36)</f>
        <v>1.02</v>
      </c>
      <c r="N37" s="78" t="s">
        <v>49</v>
      </c>
    </row>
    <row r="39" spans="9:14" x14ac:dyDescent="0.2">
      <c r="I39" s="70" t="s">
        <v>106</v>
      </c>
    </row>
    <row r="40" spans="9:14" x14ac:dyDescent="0.2">
      <c r="I40" s="59" t="s">
        <v>59</v>
      </c>
      <c r="J40" s="59"/>
      <c r="K40" s="61">
        <f>(E5+E9+E7+E11)</f>
        <v>19.239999999999998</v>
      </c>
      <c r="L40" s="59" t="s">
        <v>49</v>
      </c>
    </row>
    <row r="41" spans="9:14" x14ac:dyDescent="0.2">
      <c r="I41" s="59" t="s">
        <v>126</v>
      </c>
      <c r="J41" s="59"/>
      <c r="K41" s="61">
        <f>K40*0.05</f>
        <v>0.96199999999999997</v>
      </c>
      <c r="L41" s="59" t="s">
        <v>49</v>
      </c>
    </row>
    <row r="42" spans="9:14" x14ac:dyDescent="0.2">
      <c r="I42" s="59" t="s">
        <v>88</v>
      </c>
      <c r="J42" s="59"/>
      <c r="K42" s="61">
        <f>E17*K40+E5+E11+K41</f>
        <v>7.9135999999999989</v>
      </c>
      <c r="L42" s="59" t="s">
        <v>49</v>
      </c>
    </row>
    <row r="43" spans="9:14" x14ac:dyDescent="0.2">
      <c r="I43" s="59" t="s">
        <v>89</v>
      </c>
      <c r="J43" s="59"/>
      <c r="K43" s="61">
        <f>1.3+E13/10</f>
        <v>2.1</v>
      </c>
      <c r="L43" s="59" t="s">
        <v>58</v>
      </c>
    </row>
    <row r="44" spans="9:14" x14ac:dyDescent="0.2">
      <c r="I44" s="59" t="s">
        <v>90</v>
      </c>
      <c r="J44" s="59"/>
      <c r="K44" s="60">
        <f>E15</f>
        <v>6</v>
      </c>
      <c r="L44" s="59" t="s">
        <v>58</v>
      </c>
    </row>
    <row r="45" spans="9:14" x14ac:dyDescent="0.2">
      <c r="I45" s="59" t="s">
        <v>91</v>
      </c>
      <c r="J45" s="59"/>
      <c r="K45" s="61">
        <f>K42*(K44+1)/(K44-K43)</f>
        <v>14.203897435897433</v>
      </c>
      <c r="L45" s="59" t="s">
        <v>49</v>
      </c>
    </row>
  </sheetData>
  <mergeCells count="1">
    <mergeCell ref="B3:G3"/>
  </mergeCells>
  <hyperlinks>
    <hyperlink ref="B22" location="'ÚVODNÍ LIST'!A1" display="Pro návrat klikněte zde" xr:uid="{5A617ADD-3A70-4D3D-BBD1-F725EC8CB38F}"/>
    <hyperlink ref="B22:C22" location="'ÚVODNÍ LIST'!A1" display="Pro návrat klikněte zde" xr:uid="{86E526C5-AEBA-4392-B3C0-F42639265FD8}"/>
  </hyperlinks>
  <pageMargins left="0.70866141732283472" right="0.70866141732283472" top="0.78740157480314965" bottom="0.78740157480314965" header="0.31496062992125984" footer="0.31496062992125984"/>
  <pageSetup paperSize="9" scale="70" orientation="portrait" r:id="rId1"/>
  <ignoredErrors>
    <ignoredError sqref="E9 E5 E1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C13C6-AD97-41DB-8DF6-5F463F4663B7}">
  <sheetPr>
    <pageSetUpPr fitToPage="1"/>
  </sheetPr>
  <dimension ref="A1:O25"/>
  <sheetViews>
    <sheetView showGridLines="0" zoomScaleNormal="100" workbookViewId="0"/>
  </sheetViews>
  <sheetFormatPr defaultColWidth="8.85546875" defaultRowHeight="12" x14ac:dyDescent="0.2"/>
  <cols>
    <col min="1" max="1" width="3.5703125" style="1" customWidth="1"/>
    <col min="2" max="2" width="9.28515625" style="1" customWidth="1"/>
    <col min="3" max="3" width="15.42578125" style="1" customWidth="1"/>
    <col min="4" max="4" width="59.28515625" style="1" customWidth="1"/>
    <col min="5" max="5" width="9.85546875" style="5" bestFit="1" customWidth="1"/>
    <col min="6" max="6" width="8.85546875" style="5" customWidth="1"/>
    <col min="7" max="7" width="7.140625" style="31" customWidth="1"/>
    <col min="8" max="8" width="31.140625" style="31" customWidth="1"/>
    <col min="9" max="9" width="5.28515625" style="31" customWidth="1"/>
    <col min="10" max="10" width="59.5703125" style="1" customWidth="1"/>
    <col min="11" max="11" width="8.28515625" style="1" customWidth="1"/>
    <col min="12" max="12" width="5.7109375" style="33" customWidth="1"/>
    <col min="13" max="13" width="8.85546875" style="1"/>
    <col min="14" max="14" width="4" style="1" customWidth="1"/>
    <col min="15" max="16384" width="8.85546875" style="1"/>
  </cols>
  <sheetData>
    <row r="1" spans="1:15" x14ac:dyDescent="0.2">
      <c r="E1" s="1"/>
      <c r="F1" s="1"/>
      <c r="G1" s="1"/>
    </row>
    <row r="2" spans="1:15" ht="36" x14ac:dyDescent="0.2">
      <c r="E2" s="1"/>
      <c r="F2" s="34"/>
      <c r="H2" s="7" t="s">
        <v>0</v>
      </c>
      <c r="I2" s="7"/>
    </row>
    <row r="3" spans="1:15" ht="15" x14ac:dyDescent="0.2">
      <c r="B3" s="89" t="s">
        <v>79</v>
      </c>
      <c r="C3" s="89"/>
      <c r="D3" s="89"/>
      <c r="E3" s="89"/>
      <c r="F3" s="89"/>
      <c r="G3" s="89"/>
      <c r="H3" s="89"/>
      <c r="I3" s="35"/>
    </row>
    <row r="4" spans="1:15" ht="15" customHeight="1" x14ac:dyDescent="0.2">
      <c r="A4" s="36"/>
      <c r="E4" s="36"/>
      <c r="F4" s="36"/>
      <c r="J4" s="70" t="s">
        <v>106</v>
      </c>
      <c r="K4" s="37"/>
      <c r="L4" s="38"/>
      <c r="M4" s="37"/>
      <c r="N4" s="37"/>
      <c r="O4" s="37"/>
    </row>
    <row r="5" spans="1:15" x14ac:dyDescent="0.2">
      <c r="B5" s="21" t="s">
        <v>60</v>
      </c>
      <c r="C5" s="28"/>
      <c r="D5" s="28"/>
      <c r="E5" s="29" t="s">
        <v>61</v>
      </c>
      <c r="F5" s="26">
        <v>200</v>
      </c>
      <c r="G5" s="30" t="s">
        <v>49</v>
      </c>
      <c r="H5" s="30"/>
      <c r="I5" s="30"/>
      <c r="J5" s="62" t="s">
        <v>100</v>
      </c>
      <c r="K5" s="67" t="s">
        <v>69</v>
      </c>
      <c r="L5" s="64">
        <f>1000/(1000-(F9-4)*(0.097+0.0036*(F9-4)))-1000/(1000-(10-4)*(0.097+0.0036*(10-4)))</f>
        <v>3.552253160445118E-2</v>
      </c>
      <c r="M5" s="65"/>
    </row>
    <row r="6" spans="1:15" x14ac:dyDescent="0.2">
      <c r="J6" s="62" t="s">
        <v>101</v>
      </c>
      <c r="K6" s="60" t="s">
        <v>98</v>
      </c>
      <c r="L6" s="67">
        <f>MAX(F13/10,F15)+0.2</f>
        <v>1.2</v>
      </c>
      <c r="M6" s="68" t="s">
        <v>58</v>
      </c>
    </row>
    <row r="7" spans="1:15" ht="13.5" x14ac:dyDescent="0.25">
      <c r="B7" s="21" t="s">
        <v>62</v>
      </c>
      <c r="C7" s="28"/>
      <c r="D7" s="28"/>
      <c r="E7" s="29" t="s">
        <v>82</v>
      </c>
      <c r="F7" s="26">
        <v>10</v>
      </c>
      <c r="G7" s="30" t="s">
        <v>63</v>
      </c>
      <c r="H7" s="30"/>
      <c r="I7" s="30"/>
      <c r="J7" s="62" t="s">
        <v>102</v>
      </c>
      <c r="K7" s="60" t="s">
        <v>99</v>
      </c>
      <c r="L7" s="64">
        <f>1.3*F5*L5*(F11+1)/(F11-L6)</f>
        <v>24.865772123115828</v>
      </c>
      <c r="M7" s="68" t="s">
        <v>49</v>
      </c>
    </row>
    <row r="8" spans="1:15" x14ac:dyDescent="0.2">
      <c r="J8" s="70" t="s">
        <v>70</v>
      </c>
      <c r="K8" s="63"/>
      <c r="L8" s="67"/>
      <c r="M8" s="68"/>
    </row>
    <row r="9" spans="1:15" ht="13.5" x14ac:dyDescent="0.25">
      <c r="B9" s="21" t="s">
        <v>64</v>
      </c>
      <c r="C9" s="28"/>
      <c r="D9" s="28"/>
      <c r="E9" s="29" t="s">
        <v>83</v>
      </c>
      <c r="F9" s="26">
        <v>90</v>
      </c>
      <c r="G9" s="30" t="s">
        <v>63</v>
      </c>
      <c r="H9" s="30"/>
      <c r="I9" s="30"/>
      <c r="J9" s="62" t="s">
        <v>71</v>
      </c>
      <c r="K9" s="67">
        <f>L6</f>
        <v>1.2</v>
      </c>
      <c r="L9" s="68" t="s">
        <v>58</v>
      </c>
      <c r="M9" s="68"/>
    </row>
    <row r="10" spans="1:15" x14ac:dyDescent="0.2">
      <c r="J10" s="62" t="s">
        <v>72</v>
      </c>
      <c r="K10" s="67">
        <f>K9+0.2</f>
        <v>1.4</v>
      </c>
      <c r="L10" s="68" t="s">
        <v>58</v>
      </c>
      <c r="M10" s="68"/>
    </row>
    <row r="11" spans="1:15" ht="13.5" x14ac:dyDescent="0.25">
      <c r="B11" s="22" t="s">
        <v>65</v>
      </c>
      <c r="C11" s="32"/>
      <c r="D11" s="32"/>
      <c r="E11" s="29" t="s">
        <v>84</v>
      </c>
      <c r="F11" s="26">
        <v>2.5</v>
      </c>
      <c r="G11" s="30" t="s">
        <v>58</v>
      </c>
      <c r="H11" s="30"/>
      <c r="I11" s="30"/>
    </row>
    <row r="13" spans="1:15" x14ac:dyDescent="0.2">
      <c r="B13" s="21" t="s">
        <v>66</v>
      </c>
      <c r="C13" s="28"/>
      <c r="D13" s="28"/>
      <c r="E13" s="29" t="s">
        <v>67</v>
      </c>
      <c r="F13" s="26">
        <v>10</v>
      </c>
      <c r="G13" s="30" t="s">
        <v>57</v>
      </c>
      <c r="H13" s="30"/>
      <c r="I13" s="30"/>
    </row>
    <row r="14" spans="1:15" ht="15" customHeight="1" x14ac:dyDescent="0.2"/>
    <row r="15" spans="1:15" ht="15" customHeight="1" x14ac:dyDescent="0.25">
      <c r="B15" s="21" t="s">
        <v>68</v>
      </c>
      <c r="C15" s="28"/>
      <c r="D15" s="28"/>
      <c r="E15" s="29" t="s">
        <v>85</v>
      </c>
      <c r="F15" s="26">
        <v>0.5</v>
      </c>
      <c r="G15" s="30" t="s">
        <v>58</v>
      </c>
      <c r="H15" s="30"/>
      <c r="I15" s="30"/>
    </row>
    <row r="17" spans="2:9" x14ac:dyDescent="0.2">
      <c r="B17" s="20" t="s">
        <v>55</v>
      </c>
      <c r="C17" s="20" t="s">
        <v>53</v>
      </c>
      <c r="D17" s="20" t="s">
        <v>54</v>
      </c>
    </row>
    <row r="18" spans="2:9" x14ac:dyDescent="0.2">
      <c r="B18" s="19" t="str">
        <f>'výpočet vytápění'!P22</f>
        <v>13736</v>
      </c>
      <c r="C18" s="19" t="str">
        <f>'výpočet vytápění'!Q22</f>
        <v>EXP HS025231</v>
      </c>
      <c r="D18" s="19" t="str">
        <f>'výpočet vytápění'!R22</f>
        <v>Expanzní nádoba  25 l - HS, 6 bar, 3/4" M</v>
      </c>
    </row>
    <row r="20" spans="2:9" ht="15" x14ac:dyDescent="0.25">
      <c r="B20" s="12" t="s">
        <v>77</v>
      </c>
      <c r="C20" s="39"/>
      <c r="E20" s="54" t="s">
        <v>81</v>
      </c>
      <c r="F20" s="55">
        <f>$L$7</f>
        <v>24.865772123115828</v>
      </c>
      <c r="G20" s="27" t="s">
        <v>49</v>
      </c>
    </row>
    <row r="21" spans="2:9" x14ac:dyDescent="0.2">
      <c r="B21" s="12"/>
      <c r="C21" s="12"/>
      <c r="D21" s="12"/>
      <c r="E21" s="15"/>
      <c r="F21" s="15"/>
    </row>
    <row r="22" spans="2:9" x14ac:dyDescent="0.2">
      <c r="B22" s="23" t="s">
        <v>78</v>
      </c>
      <c r="C22" s="74"/>
      <c r="D22" s="12"/>
      <c r="E22" s="15"/>
      <c r="F22" s="15"/>
    </row>
    <row r="23" spans="2:9" x14ac:dyDescent="0.2">
      <c r="B23" s="23" t="s">
        <v>73</v>
      </c>
      <c r="C23" s="57"/>
      <c r="D23" s="37"/>
      <c r="E23" s="40"/>
      <c r="F23" s="40"/>
      <c r="G23" s="41"/>
      <c r="H23" s="41"/>
      <c r="I23" s="41"/>
    </row>
    <row r="24" spans="2:9" x14ac:dyDescent="0.2">
      <c r="B24" s="24" t="s">
        <v>74</v>
      </c>
      <c r="C24" s="75"/>
      <c r="D24" s="42"/>
      <c r="E24" s="43"/>
      <c r="F24" s="43"/>
      <c r="G24" s="44"/>
      <c r="H24" s="44"/>
      <c r="I24" s="44"/>
    </row>
    <row r="25" spans="2:9" x14ac:dyDescent="0.2">
      <c r="B25" s="45"/>
      <c r="C25" s="45"/>
      <c r="D25" s="45"/>
      <c r="E25" s="46"/>
      <c r="F25" s="46"/>
      <c r="G25" s="47"/>
      <c r="H25" s="47"/>
      <c r="I25" s="35"/>
    </row>
  </sheetData>
  <mergeCells count="1">
    <mergeCell ref="B3:H3"/>
  </mergeCells>
  <hyperlinks>
    <hyperlink ref="B20" location="'ÚVODNÍ LIST'!A1" display="Pro přesnější návrh klikněte zde" xr:uid="{BB6582AC-36A9-490D-86B1-7429C252B6BB}"/>
    <hyperlink ref="B20:C20" location="'ÚVODNÍ LIST'!A1" display="Pro návrat klikněte zde" xr:uid="{073044B2-9C32-47FD-A31D-F712B19D24D7}"/>
  </hyperlinks>
  <pageMargins left="0.70866141732283472" right="0.70866141732283472" top="0.78740157480314965" bottom="0.78740157480314965" header="0.31496062992125984" footer="0.31496062992125984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70DDB-DBC1-4549-9571-E112CBC3B1FC}">
  <dimension ref="B1:R53"/>
  <sheetViews>
    <sheetView topLeftCell="A7" workbookViewId="0">
      <selection activeCell="D16" sqref="D16:D34"/>
    </sheetView>
  </sheetViews>
  <sheetFormatPr defaultRowHeight="15" x14ac:dyDescent="0.25"/>
  <cols>
    <col min="1" max="1" width="3.28515625" customWidth="1"/>
  </cols>
  <sheetData>
    <row r="1" spans="2:18" x14ac:dyDescent="0.25">
      <c r="L1">
        <f>'ÚVODNÍ LIST'!$E$5</f>
        <v>3</v>
      </c>
      <c r="M1">
        <f>L1*8</f>
        <v>24</v>
      </c>
    </row>
    <row r="2" spans="2:18" x14ac:dyDescent="0.25">
      <c r="B2" s="2">
        <v>13720</v>
      </c>
      <c r="C2" s="3" t="s">
        <v>2</v>
      </c>
      <c r="D2" s="3" t="s">
        <v>129</v>
      </c>
      <c r="K2">
        <v>12</v>
      </c>
      <c r="M2">
        <f>IF($M$1&gt;K2,0,K2)</f>
        <v>0</v>
      </c>
      <c r="N2">
        <f>IF(M1&lt;M2,M2,0)</f>
        <v>0</v>
      </c>
      <c r="P2" t="str">
        <f>IF(N2=0,"",B2)</f>
        <v/>
      </c>
      <c r="Q2" t="str">
        <f t="shared" ref="Q2:Q4" si="0">IF(N2=0,"",C2)</f>
        <v/>
      </c>
      <c r="R2" t="str">
        <f t="shared" ref="R2:R4" si="1">IF(N2=0,"",D2)</f>
        <v/>
      </c>
    </row>
    <row r="3" spans="2:18" x14ac:dyDescent="0.25">
      <c r="B3" s="2">
        <v>13721</v>
      </c>
      <c r="C3" s="3" t="s">
        <v>3</v>
      </c>
      <c r="D3" s="3" t="s">
        <v>128</v>
      </c>
      <c r="K3">
        <v>18</v>
      </c>
      <c r="M3">
        <f t="shared" ref="M3:M13" si="2">IF($M$1&gt;K3,0,K3)</f>
        <v>0</v>
      </c>
      <c r="N3">
        <f t="shared" ref="N3:N4" si="3">IF(M2=0,M3,0)</f>
        <v>0</v>
      </c>
      <c r="P3" t="str">
        <f t="shared" ref="P3:P18" si="4">IF(N3=0,"",B3)</f>
        <v/>
      </c>
      <c r="Q3" t="str">
        <f t="shared" si="0"/>
        <v/>
      </c>
      <c r="R3" t="str">
        <f t="shared" si="1"/>
        <v/>
      </c>
    </row>
    <row r="4" spans="2:18" x14ac:dyDescent="0.25">
      <c r="B4" s="2">
        <v>13722</v>
      </c>
      <c r="C4" s="3" t="s">
        <v>4</v>
      </c>
      <c r="D4" s="3" t="s">
        <v>130</v>
      </c>
      <c r="K4">
        <v>25</v>
      </c>
      <c r="M4">
        <f t="shared" si="2"/>
        <v>25</v>
      </c>
      <c r="N4">
        <f t="shared" si="3"/>
        <v>25</v>
      </c>
      <c r="P4">
        <f t="shared" si="4"/>
        <v>13722</v>
      </c>
      <c r="Q4" t="str">
        <f t="shared" si="0"/>
        <v>EXP SL025241</v>
      </c>
      <c r="R4" t="str">
        <f t="shared" si="1"/>
        <v>Expanzní nádoba  25 l - SL, 8 bar, 3/4" M - solar</v>
      </c>
    </row>
    <row r="5" spans="2:18" x14ac:dyDescent="0.25">
      <c r="B5" s="2">
        <v>13723</v>
      </c>
      <c r="C5" s="3" t="s">
        <v>5</v>
      </c>
      <c r="D5" s="3" t="s">
        <v>131</v>
      </c>
      <c r="K5">
        <v>40</v>
      </c>
      <c r="M5">
        <f t="shared" si="2"/>
        <v>40</v>
      </c>
      <c r="N5">
        <f>IF(M4=0,M5,0)</f>
        <v>0</v>
      </c>
      <c r="P5" t="str">
        <f t="shared" si="4"/>
        <v/>
      </c>
      <c r="Q5" t="str">
        <f>IF(N5=0,"",C5)</f>
        <v/>
      </c>
      <c r="R5" t="str">
        <f>IF(N5=0,"",D5)</f>
        <v/>
      </c>
    </row>
    <row r="6" spans="2:18" x14ac:dyDescent="0.25">
      <c r="B6" s="2">
        <v>13724</v>
      </c>
      <c r="C6" s="3" t="s">
        <v>6</v>
      </c>
      <c r="D6" s="3" t="s">
        <v>132</v>
      </c>
      <c r="K6">
        <v>50</v>
      </c>
      <c r="M6">
        <f t="shared" si="2"/>
        <v>50</v>
      </c>
      <c r="N6">
        <f t="shared" ref="N6:N52" si="5">IF(M5=0,M6,0)</f>
        <v>0</v>
      </c>
      <c r="P6" t="str">
        <f t="shared" si="4"/>
        <v/>
      </c>
      <c r="Q6" t="str">
        <f t="shared" ref="Q6:Q52" si="6">IF(N6=0,"",C6)</f>
        <v/>
      </c>
      <c r="R6" t="str">
        <f t="shared" ref="R6:R52" si="7">IF(N6=0,"",D6)</f>
        <v/>
      </c>
    </row>
    <row r="7" spans="2:18" x14ac:dyDescent="0.25">
      <c r="B7" s="2">
        <v>13725</v>
      </c>
      <c r="C7" s="3" t="s">
        <v>7</v>
      </c>
      <c r="D7" s="3" t="s">
        <v>133</v>
      </c>
      <c r="K7">
        <v>80</v>
      </c>
      <c r="M7">
        <f t="shared" si="2"/>
        <v>80</v>
      </c>
      <c r="N7">
        <f t="shared" si="5"/>
        <v>0</v>
      </c>
      <c r="P7" t="str">
        <f t="shared" si="4"/>
        <v/>
      </c>
      <c r="Q7" t="str">
        <f t="shared" si="6"/>
        <v/>
      </c>
      <c r="R7" t="str">
        <f t="shared" si="7"/>
        <v/>
      </c>
    </row>
    <row r="8" spans="2:18" x14ac:dyDescent="0.25">
      <c r="B8" s="2">
        <v>13726</v>
      </c>
      <c r="C8" s="3" t="s">
        <v>8</v>
      </c>
      <c r="D8" s="3" t="s">
        <v>134</v>
      </c>
      <c r="K8">
        <v>100</v>
      </c>
      <c r="M8">
        <f t="shared" si="2"/>
        <v>100</v>
      </c>
      <c r="N8">
        <f t="shared" si="5"/>
        <v>0</v>
      </c>
      <c r="P8" t="str">
        <f t="shared" si="4"/>
        <v/>
      </c>
      <c r="Q8" t="str">
        <f t="shared" si="6"/>
        <v/>
      </c>
      <c r="R8" t="str">
        <f t="shared" si="7"/>
        <v/>
      </c>
    </row>
    <row r="9" spans="2:18" x14ac:dyDescent="0.25">
      <c r="B9" s="2">
        <v>13727</v>
      </c>
      <c r="C9" s="3" t="s">
        <v>9</v>
      </c>
      <c r="D9" s="3" t="s">
        <v>135</v>
      </c>
      <c r="K9">
        <v>150</v>
      </c>
      <c r="M9">
        <f t="shared" si="2"/>
        <v>150</v>
      </c>
      <c r="N9">
        <f t="shared" si="5"/>
        <v>0</v>
      </c>
      <c r="P9" t="str">
        <f t="shared" si="4"/>
        <v/>
      </c>
      <c r="Q9" t="str">
        <f t="shared" si="6"/>
        <v/>
      </c>
      <c r="R9" t="str">
        <f t="shared" si="7"/>
        <v/>
      </c>
    </row>
    <row r="10" spans="2:18" x14ac:dyDescent="0.25">
      <c r="B10" s="2">
        <v>13728</v>
      </c>
      <c r="C10" s="3" t="s">
        <v>10</v>
      </c>
      <c r="D10" s="3" t="s">
        <v>136</v>
      </c>
      <c r="K10">
        <v>200</v>
      </c>
      <c r="M10">
        <f t="shared" si="2"/>
        <v>200</v>
      </c>
      <c r="N10">
        <f t="shared" si="5"/>
        <v>0</v>
      </c>
      <c r="P10" t="str">
        <f t="shared" si="4"/>
        <v/>
      </c>
      <c r="Q10" t="str">
        <f t="shared" si="6"/>
        <v/>
      </c>
      <c r="R10" t="str">
        <f t="shared" si="7"/>
        <v/>
      </c>
    </row>
    <row r="11" spans="2:18" x14ac:dyDescent="0.25">
      <c r="B11" s="2">
        <v>13729</v>
      </c>
      <c r="C11" s="3" t="s">
        <v>11</v>
      </c>
      <c r="D11" s="3" t="s">
        <v>137</v>
      </c>
      <c r="K11">
        <v>300</v>
      </c>
      <c r="M11">
        <f t="shared" si="2"/>
        <v>300</v>
      </c>
      <c r="N11">
        <f t="shared" si="5"/>
        <v>0</v>
      </c>
      <c r="P11" t="str">
        <f t="shared" si="4"/>
        <v/>
      </c>
      <c r="Q11" t="str">
        <f t="shared" si="6"/>
        <v/>
      </c>
      <c r="R11" t="str">
        <f t="shared" si="7"/>
        <v/>
      </c>
    </row>
    <row r="12" spans="2:18" x14ac:dyDescent="0.25">
      <c r="B12" s="2">
        <v>13730</v>
      </c>
      <c r="C12" s="3" t="s">
        <v>12</v>
      </c>
      <c r="D12" s="3" t="s">
        <v>138</v>
      </c>
      <c r="K12">
        <v>500</v>
      </c>
      <c r="M12">
        <f t="shared" si="2"/>
        <v>500</v>
      </c>
      <c r="N12">
        <f t="shared" si="5"/>
        <v>0</v>
      </c>
      <c r="P12" t="str">
        <f t="shared" si="4"/>
        <v/>
      </c>
      <c r="Q12" t="str">
        <f t="shared" si="6"/>
        <v/>
      </c>
      <c r="R12" t="str">
        <f t="shared" si="7"/>
        <v/>
      </c>
    </row>
    <row r="13" spans="2:18" x14ac:dyDescent="0.25">
      <c r="B13" s="2" t="s">
        <v>46</v>
      </c>
      <c r="C13" s="3" t="s">
        <v>52</v>
      </c>
      <c r="D13" s="3" t="s">
        <v>52</v>
      </c>
      <c r="K13" s="2" t="s">
        <v>46</v>
      </c>
      <c r="M13" t="str">
        <f t="shared" si="2"/>
        <v>není v nabídce</v>
      </c>
      <c r="N13">
        <f t="shared" si="5"/>
        <v>0</v>
      </c>
      <c r="P13" t="str">
        <f t="shared" si="4"/>
        <v/>
      </c>
      <c r="Q13" t="str">
        <f t="shared" si="6"/>
        <v/>
      </c>
      <c r="R13" t="str">
        <f t="shared" si="7"/>
        <v/>
      </c>
    </row>
    <row r="14" spans="2:18" x14ac:dyDescent="0.25">
      <c r="B14" s="2"/>
      <c r="C14" s="3"/>
      <c r="D14" s="3"/>
      <c r="K14" s="2"/>
      <c r="P14" t="str">
        <f>CONCATENATE(P2,P3,P4,P5,P6,P7,P8,P9,P10,P11,P12,P13)</f>
        <v>13722</v>
      </c>
      <c r="Q14" t="str">
        <f t="shared" ref="Q14:R14" si="8">CONCATENATE(Q2,Q3,Q4,Q5,Q6,Q7,Q8,Q9,Q10,Q11,Q12,Q13)</f>
        <v>EXP SL025241</v>
      </c>
      <c r="R14" t="str">
        <f t="shared" si="8"/>
        <v>Expanzní nádoba  25 l - SL, 8 bar, 3/4" M - solar</v>
      </c>
    </row>
    <row r="15" spans="2:18" x14ac:dyDescent="0.25">
      <c r="B15" s="2"/>
      <c r="C15" s="3"/>
      <c r="D15" s="3"/>
      <c r="K15" s="2"/>
      <c r="L15">
        <f>'ÚVODNÍ LIST'!$E$13</f>
        <v>200</v>
      </c>
      <c r="M15">
        <f>L15*0.1</f>
        <v>20</v>
      </c>
    </row>
    <row r="16" spans="2:18" x14ac:dyDescent="0.25">
      <c r="B16" s="2">
        <v>13731</v>
      </c>
      <c r="C16" s="3" t="s">
        <v>13</v>
      </c>
      <c r="D16" s="3" t="s">
        <v>139</v>
      </c>
      <c r="K16">
        <v>5</v>
      </c>
      <c r="M16">
        <f>IF($M$15&gt;K16,0,K16)</f>
        <v>0</v>
      </c>
      <c r="N16">
        <f>IF(M15&lt;M16,M16,0)</f>
        <v>0</v>
      </c>
      <c r="P16" t="str">
        <f t="shared" si="4"/>
        <v/>
      </c>
      <c r="Q16" t="str">
        <f t="shared" si="6"/>
        <v/>
      </c>
      <c r="R16" t="str">
        <f t="shared" si="7"/>
        <v/>
      </c>
    </row>
    <row r="17" spans="2:18" x14ac:dyDescent="0.25">
      <c r="B17" s="2">
        <v>13732</v>
      </c>
      <c r="C17" s="3" t="s">
        <v>14</v>
      </c>
      <c r="D17" s="3" t="s">
        <v>140</v>
      </c>
      <c r="K17">
        <v>8</v>
      </c>
      <c r="M17">
        <f t="shared" ref="M17:M35" si="9">IF($M$15&gt;K17,0,K17)</f>
        <v>0</v>
      </c>
      <c r="N17">
        <f t="shared" si="5"/>
        <v>0</v>
      </c>
      <c r="P17" t="str">
        <f t="shared" si="4"/>
        <v/>
      </c>
      <c r="Q17" t="str">
        <f t="shared" si="6"/>
        <v/>
      </c>
      <c r="R17" t="str">
        <f t="shared" si="7"/>
        <v/>
      </c>
    </row>
    <row r="18" spans="2:18" x14ac:dyDescent="0.25">
      <c r="B18" s="2">
        <v>13734</v>
      </c>
      <c r="C18" s="3" t="s">
        <v>15</v>
      </c>
      <c r="D18" s="3" t="s">
        <v>141</v>
      </c>
      <c r="K18">
        <v>12</v>
      </c>
      <c r="M18">
        <f t="shared" si="9"/>
        <v>0</v>
      </c>
      <c r="N18">
        <f t="shared" si="5"/>
        <v>0</v>
      </c>
      <c r="P18" t="str">
        <f t="shared" si="4"/>
        <v/>
      </c>
      <c r="Q18" t="str">
        <f t="shared" si="6"/>
        <v/>
      </c>
      <c r="R18" t="str">
        <f t="shared" si="7"/>
        <v/>
      </c>
    </row>
    <row r="19" spans="2:18" x14ac:dyDescent="0.25">
      <c r="B19" s="2">
        <v>13735</v>
      </c>
      <c r="C19" s="3" t="s">
        <v>16</v>
      </c>
      <c r="D19" s="3" t="s">
        <v>142</v>
      </c>
      <c r="K19">
        <v>18</v>
      </c>
      <c r="M19">
        <f t="shared" si="9"/>
        <v>0</v>
      </c>
      <c r="N19">
        <f t="shared" si="5"/>
        <v>0</v>
      </c>
      <c r="P19" t="str">
        <f t="shared" ref="P19:P52" si="10">IF(N19=0,"",B19)</f>
        <v/>
      </c>
      <c r="Q19" t="str">
        <f t="shared" si="6"/>
        <v/>
      </c>
      <c r="R19" t="str">
        <f t="shared" si="7"/>
        <v/>
      </c>
    </row>
    <row r="20" spans="2:18" x14ac:dyDescent="0.25">
      <c r="B20" s="2">
        <v>13736</v>
      </c>
      <c r="C20" s="3" t="s">
        <v>17</v>
      </c>
      <c r="D20" s="3" t="s">
        <v>143</v>
      </c>
      <c r="K20">
        <v>25</v>
      </c>
      <c r="M20">
        <f t="shared" si="9"/>
        <v>25</v>
      </c>
      <c r="N20">
        <f t="shared" si="5"/>
        <v>25</v>
      </c>
      <c r="P20">
        <f t="shared" si="10"/>
        <v>13736</v>
      </c>
      <c r="Q20" t="str">
        <f t="shared" si="6"/>
        <v>EXP HS025231</v>
      </c>
      <c r="R20" t="str">
        <f t="shared" si="7"/>
        <v>Expanzní nádoba  25 l - HS, 6 bar, 3/4" M</v>
      </c>
    </row>
    <row r="21" spans="2:18" x14ac:dyDescent="0.25">
      <c r="B21" s="2">
        <v>13738</v>
      </c>
      <c r="C21" s="3" t="s">
        <v>19</v>
      </c>
      <c r="D21" s="3" t="s">
        <v>145</v>
      </c>
      <c r="K21">
        <v>35</v>
      </c>
      <c r="M21">
        <f t="shared" si="9"/>
        <v>35</v>
      </c>
      <c r="N21">
        <f t="shared" si="5"/>
        <v>0</v>
      </c>
      <c r="P21" t="str">
        <f t="shared" si="10"/>
        <v/>
      </c>
      <c r="Q21" t="str">
        <f t="shared" si="6"/>
        <v/>
      </c>
      <c r="R21" t="str">
        <f t="shared" si="7"/>
        <v/>
      </c>
    </row>
    <row r="22" spans="2:18" x14ac:dyDescent="0.25">
      <c r="B22" s="2">
        <v>13737</v>
      </c>
      <c r="C22" s="3" t="s">
        <v>18</v>
      </c>
      <c r="D22" s="3" t="s">
        <v>144</v>
      </c>
      <c r="K22">
        <v>40</v>
      </c>
      <c r="M22">
        <f t="shared" si="9"/>
        <v>40</v>
      </c>
      <c r="N22">
        <f t="shared" si="5"/>
        <v>0</v>
      </c>
      <c r="P22" t="str">
        <f t="shared" si="10"/>
        <v/>
      </c>
      <c r="Q22" t="str">
        <f t="shared" si="6"/>
        <v/>
      </c>
      <c r="R22" t="str">
        <f t="shared" si="7"/>
        <v/>
      </c>
    </row>
    <row r="23" spans="2:18" x14ac:dyDescent="0.25">
      <c r="B23" s="2">
        <v>13739</v>
      </c>
      <c r="C23" s="3" t="s">
        <v>20</v>
      </c>
      <c r="D23" s="3" t="s">
        <v>146</v>
      </c>
      <c r="K23">
        <v>50</v>
      </c>
      <c r="M23">
        <f t="shared" si="9"/>
        <v>50</v>
      </c>
      <c r="N23">
        <f t="shared" si="5"/>
        <v>0</v>
      </c>
      <c r="P23" t="str">
        <f t="shared" si="10"/>
        <v/>
      </c>
      <c r="Q23" t="str">
        <f t="shared" si="6"/>
        <v/>
      </c>
      <c r="R23" t="str">
        <f t="shared" si="7"/>
        <v/>
      </c>
    </row>
    <row r="24" spans="2:18" x14ac:dyDescent="0.25">
      <c r="B24" s="2">
        <v>13740</v>
      </c>
      <c r="C24" s="3" t="s">
        <v>21</v>
      </c>
      <c r="D24" s="3" t="s">
        <v>147</v>
      </c>
      <c r="K24">
        <v>60</v>
      </c>
      <c r="M24">
        <f t="shared" si="9"/>
        <v>60</v>
      </c>
      <c r="N24">
        <f t="shared" si="5"/>
        <v>0</v>
      </c>
      <c r="P24" t="str">
        <f t="shared" si="10"/>
        <v/>
      </c>
      <c r="Q24" t="str">
        <f t="shared" si="6"/>
        <v/>
      </c>
      <c r="R24" t="str">
        <f t="shared" si="7"/>
        <v/>
      </c>
    </row>
    <row r="25" spans="2:18" x14ac:dyDescent="0.25">
      <c r="B25" s="2">
        <v>13741</v>
      </c>
      <c r="C25" s="3" t="s">
        <v>22</v>
      </c>
      <c r="D25" s="3" t="s">
        <v>148</v>
      </c>
      <c r="K25">
        <v>80</v>
      </c>
      <c r="M25">
        <f t="shared" si="9"/>
        <v>80</v>
      </c>
      <c r="N25">
        <f t="shared" si="5"/>
        <v>0</v>
      </c>
      <c r="P25" t="str">
        <f t="shared" si="10"/>
        <v/>
      </c>
      <c r="Q25" t="str">
        <f t="shared" si="6"/>
        <v/>
      </c>
      <c r="R25" t="str">
        <f t="shared" si="7"/>
        <v/>
      </c>
    </row>
    <row r="26" spans="2:18" x14ac:dyDescent="0.25">
      <c r="B26" s="2">
        <v>13742</v>
      </c>
      <c r="C26" s="3" t="s">
        <v>23</v>
      </c>
      <c r="D26" s="3" t="s">
        <v>149</v>
      </c>
      <c r="K26">
        <v>100</v>
      </c>
      <c r="M26">
        <f t="shared" si="9"/>
        <v>100</v>
      </c>
      <c r="N26">
        <f t="shared" si="5"/>
        <v>0</v>
      </c>
      <c r="P26" t="str">
        <f t="shared" si="10"/>
        <v/>
      </c>
      <c r="Q26" t="str">
        <f t="shared" si="6"/>
        <v/>
      </c>
      <c r="R26" t="str">
        <f t="shared" si="7"/>
        <v/>
      </c>
    </row>
    <row r="27" spans="2:18" x14ac:dyDescent="0.25">
      <c r="B27" s="2">
        <v>13743</v>
      </c>
      <c r="C27" s="3" t="s">
        <v>24</v>
      </c>
      <c r="D27" s="3" t="s">
        <v>150</v>
      </c>
      <c r="K27">
        <v>150</v>
      </c>
      <c r="M27">
        <f t="shared" si="9"/>
        <v>150</v>
      </c>
      <c r="N27">
        <f t="shared" si="5"/>
        <v>0</v>
      </c>
      <c r="P27" t="str">
        <f t="shared" si="10"/>
        <v/>
      </c>
      <c r="Q27" t="str">
        <f t="shared" si="6"/>
        <v/>
      </c>
      <c r="R27" t="str">
        <f t="shared" si="7"/>
        <v/>
      </c>
    </row>
    <row r="28" spans="2:18" x14ac:dyDescent="0.25">
      <c r="B28" s="2">
        <v>13744</v>
      </c>
      <c r="C28" s="3" t="s">
        <v>25</v>
      </c>
      <c r="D28" s="3" t="s">
        <v>151</v>
      </c>
      <c r="K28">
        <v>200</v>
      </c>
      <c r="M28">
        <f t="shared" si="9"/>
        <v>200</v>
      </c>
      <c r="N28">
        <f t="shared" si="5"/>
        <v>0</v>
      </c>
      <c r="P28" t="str">
        <f t="shared" si="10"/>
        <v/>
      </c>
      <c r="Q28" t="str">
        <f t="shared" si="6"/>
        <v/>
      </c>
      <c r="R28" t="str">
        <f t="shared" si="7"/>
        <v/>
      </c>
    </row>
    <row r="29" spans="2:18" x14ac:dyDescent="0.25">
      <c r="B29" s="2">
        <v>13745</v>
      </c>
      <c r="C29" s="3" t="s">
        <v>26</v>
      </c>
      <c r="D29" s="3" t="s">
        <v>152</v>
      </c>
      <c r="K29">
        <v>250</v>
      </c>
      <c r="M29">
        <f t="shared" si="9"/>
        <v>250</v>
      </c>
      <c r="N29">
        <f t="shared" si="5"/>
        <v>0</v>
      </c>
      <c r="P29" t="str">
        <f t="shared" si="10"/>
        <v/>
      </c>
      <c r="Q29" t="str">
        <f t="shared" si="6"/>
        <v/>
      </c>
      <c r="R29" t="str">
        <f t="shared" si="7"/>
        <v/>
      </c>
    </row>
    <row r="30" spans="2:18" x14ac:dyDescent="0.25">
      <c r="B30" s="2">
        <v>13746</v>
      </c>
      <c r="C30" s="3" t="s">
        <v>27</v>
      </c>
      <c r="D30" s="3" t="s">
        <v>153</v>
      </c>
      <c r="K30">
        <v>300</v>
      </c>
      <c r="M30">
        <f t="shared" si="9"/>
        <v>300</v>
      </c>
      <c r="N30">
        <f t="shared" si="5"/>
        <v>0</v>
      </c>
      <c r="P30" t="str">
        <f t="shared" si="10"/>
        <v/>
      </c>
      <c r="Q30" t="str">
        <f t="shared" si="6"/>
        <v/>
      </c>
      <c r="R30" t="str">
        <f t="shared" si="7"/>
        <v/>
      </c>
    </row>
    <row r="31" spans="2:18" x14ac:dyDescent="0.25">
      <c r="B31" s="2">
        <v>13747</v>
      </c>
      <c r="C31" s="3" t="s">
        <v>28</v>
      </c>
      <c r="D31" s="3" t="s">
        <v>154</v>
      </c>
      <c r="K31">
        <v>400</v>
      </c>
      <c r="M31">
        <f t="shared" si="9"/>
        <v>400</v>
      </c>
      <c r="N31">
        <f t="shared" si="5"/>
        <v>0</v>
      </c>
      <c r="P31" t="str">
        <f t="shared" si="10"/>
        <v/>
      </c>
      <c r="Q31" t="str">
        <f t="shared" si="6"/>
        <v/>
      </c>
      <c r="R31" t="str">
        <f t="shared" si="7"/>
        <v/>
      </c>
    </row>
    <row r="32" spans="2:18" x14ac:dyDescent="0.25">
      <c r="B32" s="2">
        <v>13748</v>
      </c>
      <c r="C32" s="3" t="s">
        <v>29</v>
      </c>
      <c r="D32" s="3" t="s">
        <v>155</v>
      </c>
      <c r="K32">
        <v>500</v>
      </c>
      <c r="M32">
        <f t="shared" si="9"/>
        <v>500</v>
      </c>
      <c r="N32">
        <f t="shared" si="5"/>
        <v>0</v>
      </c>
      <c r="P32" t="str">
        <f t="shared" si="10"/>
        <v/>
      </c>
      <c r="Q32" t="str">
        <f t="shared" si="6"/>
        <v/>
      </c>
      <c r="R32" t="str">
        <f t="shared" si="7"/>
        <v/>
      </c>
    </row>
    <row r="33" spans="2:18" x14ac:dyDescent="0.25">
      <c r="B33" s="2">
        <v>13749</v>
      </c>
      <c r="C33" s="3" t="s">
        <v>30</v>
      </c>
      <c r="D33" s="3" t="s">
        <v>156</v>
      </c>
      <c r="K33">
        <v>600</v>
      </c>
      <c r="M33">
        <f t="shared" si="9"/>
        <v>600</v>
      </c>
      <c r="N33">
        <f t="shared" si="5"/>
        <v>0</v>
      </c>
      <c r="P33" t="str">
        <f t="shared" si="10"/>
        <v/>
      </c>
      <c r="Q33" t="str">
        <f t="shared" si="6"/>
        <v/>
      </c>
      <c r="R33" t="str">
        <f t="shared" si="7"/>
        <v/>
      </c>
    </row>
    <row r="34" spans="2:18" x14ac:dyDescent="0.25">
      <c r="B34" s="2">
        <v>13750</v>
      </c>
      <c r="C34" s="3" t="s">
        <v>31</v>
      </c>
      <c r="D34" s="3" t="s">
        <v>157</v>
      </c>
      <c r="K34">
        <v>700</v>
      </c>
      <c r="M34">
        <f t="shared" si="9"/>
        <v>700</v>
      </c>
      <c r="N34">
        <f t="shared" si="5"/>
        <v>0</v>
      </c>
      <c r="P34" t="str">
        <f t="shared" si="10"/>
        <v/>
      </c>
      <c r="Q34" t="str">
        <f t="shared" si="6"/>
        <v/>
      </c>
      <c r="R34" t="str">
        <f t="shared" si="7"/>
        <v/>
      </c>
    </row>
    <row r="35" spans="2:18" x14ac:dyDescent="0.25">
      <c r="B35" s="2" t="s">
        <v>46</v>
      </c>
      <c r="C35" s="3" t="s">
        <v>52</v>
      </c>
      <c r="D35" s="3" t="s">
        <v>52</v>
      </c>
      <c r="K35" s="2" t="s">
        <v>46</v>
      </c>
      <c r="M35" s="2" t="str">
        <f t="shared" si="9"/>
        <v>není v nabídce</v>
      </c>
      <c r="N35">
        <f t="shared" si="5"/>
        <v>0</v>
      </c>
      <c r="P35" t="str">
        <f t="shared" si="10"/>
        <v/>
      </c>
      <c r="Q35" t="str">
        <f t="shared" si="6"/>
        <v/>
      </c>
      <c r="R35" t="str">
        <f t="shared" si="7"/>
        <v/>
      </c>
    </row>
    <row r="36" spans="2:18" x14ac:dyDescent="0.25">
      <c r="B36" s="2"/>
      <c r="C36" s="3"/>
      <c r="D36" s="3"/>
      <c r="K36" s="2"/>
      <c r="P36" t="str">
        <f>CONCATENATE(P16,P17,P18,P19,P20,P21,P22,P23,P24,P25,P26,P27,P28,P29,P30,P31,P32,P33,P34,P35)</f>
        <v>13736</v>
      </c>
      <c r="Q36" t="str">
        <f t="shared" ref="Q36:R36" si="11">CONCATENATE(Q16,Q17,Q18,Q19,Q20,Q21,Q22,Q23,Q24,Q25,Q26,Q27,Q28,Q29,Q30,Q31,Q32,Q33,Q34,Q35)</f>
        <v>EXP HS025231</v>
      </c>
      <c r="R36" t="str">
        <f t="shared" si="11"/>
        <v>Expanzní nádoba  25 l - HS, 6 bar, 3/4" M</v>
      </c>
    </row>
    <row r="37" spans="2:18" x14ac:dyDescent="0.25">
      <c r="B37" s="2"/>
      <c r="C37" s="3"/>
      <c r="D37" s="3"/>
      <c r="L37">
        <f>'ÚVODNÍ LIST'!$E$21</f>
        <v>200</v>
      </c>
      <c r="M37">
        <f>L37*0.04</f>
        <v>8</v>
      </c>
    </row>
    <row r="38" spans="2:18" x14ac:dyDescent="0.25">
      <c r="B38" s="2">
        <v>13752</v>
      </c>
      <c r="C38" s="3" t="s">
        <v>32</v>
      </c>
      <c r="D38" s="3" t="s">
        <v>158</v>
      </c>
      <c r="K38">
        <v>0.16</v>
      </c>
      <c r="M38">
        <f>IF($M$37&gt;K38,0,K38)</f>
        <v>0</v>
      </c>
      <c r="N38">
        <f>IF(M37&lt;M38,M38,0)</f>
        <v>0</v>
      </c>
      <c r="P38" t="str">
        <f t="shared" si="10"/>
        <v/>
      </c>
      <c r="Q38" t="str">
        <f t="shared" si="6"/>
        <v/>
      </c>
      <c r="R38" t="str">
        <f t="shared" si="7"/>
        <v/>
      </c>
    </row>
    <row r="39" spans="2:18" x14ac:dyDescent="0.25">
      <c r="B39" s="2">
        <v>13753</v>
      </c>
      <c r="C39" s="3" t="s">
        <v>33</v>
      </c>
      <c r="D39" s="3" t="s">
        <v>159</v>
      </c>
      <c r="K39">
        <v>2</v>
      </c>
      <c r="M39">
        <f t="shared" ref="M39:M52" si="12">IF($M$37&gt;K39,0,K39)</f>
        <v>0</v>
      </c>
      <c r="N39">
        <f t="shared" si="5"/>
        <v>0</v>
      </c>
      <c r="P39" t="str">
        <f t="shared" si="10"/>
        <v/>
      </c>
      <c r="Q39" t="str">
        <f t="shared" si="6"/>
        <v/>
      </c>
      <c r="R39" t="str">
        <f t="shared" si="7"/>
        <v/>
      </c>
    </row>
    <row r="40" spans="2:18" x14ac:dyDescent="0.25">
      <c r="B40" s="2">
        <v>13754</v>
      </c>
      <c r="C40" s="3" t="s">
        <v>34</v>
      </c>
      <c r="D40" s="3" t="s">
        <v>160</v>
      </c>
      <c r="K40">
        <v>5</v>
      </c>
      <c r="M40">
        <f t="shared" si="12"/>
        <v>0</v>
      </c>
      <c r="N40">
        <f t="shared" si="5"/>
        <v>0</v>
      </c>
      <c r="P40" t="str">
        <f t="shared" si="10"/>
        <v/>
      </c>
      <c r="Q40" t="str">
        <f t="shared" si="6"/>
        <v/>
      </c>
      <c r="R40" t="str">
        <f t="shared" si="7"/>
        <v/>
      </c>
    </row>
    <row r="41" spans="2:18" x14ac:dyDescent="0.25">
      <c r="B41" s="2">
        <v>13755</v>
      </c>
      <c r="C41" s="3" t="s">
        <v>35</v>
      </c>
      <c r="D41" s="3" t="s">
        <v>161</v>
      </c>
      <c r="K41">
        <v>8</v>
      </c>
      <c r="M41">
        <f t="shared" si="12"/>
        <v>8</v>
      </c>
      <c r="N41">
        <f t="shared" si="5"/>
        <v>8</v>
      </c>
      <c r="P41">
        <f t="shared" si="10"/>
        <v>13755</v>
      </c>
      <c r="Q41" t="str">
        <f t="shared" si="6"/>
        <v>EXP HW008223</v>
      </c>
      <c r="R41" t="str">
        <f t="shared" si="7"/>
        <v>Expanzní nádoba 8 l - HW, 8 bar, 3/4" M, na pitnou vodu</v>
      </c>
    </row>
    <row r="42" spans="2:18" x14ac:dyDescent="0.25">
      <c r="B42" s="2">
        <v>13756</v>
      </c>
      <c r="C42" s="3" t="s">
        <v>36</v>
      </c>
      <c r="D42" s="3" t="s">
        <v>162</v>
      </c>
      <c r="K42">
        <v>12</v>
      </c>
      <c r="M42">
        <f t="shared" si="12"/>
        <v>12</v>
      </c>
      <c r="N42">
        <f t="shared" si="5"/>
        <v>0</v>
      </c>
      <c r="P42" t="str">
        <f t="shared" si="10"/>
        <v/>
      </c>
      <c r="Q42" t="str">
        <f t="shared" si="6"/>
        <v/>
      </c>
      <c r="R42" t="str">
        <f t="shared" si="7"/>
        <v/>
      </c>
    </row>
    <row r="43" spans="2:18" x14ac:dyDescent="0.25">
      <c r="B43" s="2">
        <v>13757</v>
      </c>
      <c r="C43" s="3" t="s">
        <v>37</v>
      </c>
      <c r="D43" s="3" t="s">
        <v>163</v>
      </c>
      <c r="K43">
        <v>18</v>
      </c>
      <c r="M43">
        <f t="shared" si="12"/>
        <v>18</v>
      </c>
      <c r="N43">
        <f t="shared" si="5"/>
        <v>0</v>
      </c>
      <c r="P43" t="str">
        <f t="shared" si="10"/>
        <v/>
      </c>
      <c r="Q43" t="str">
        <f t="shared" si="6"/>
        <v/>
      </c>
      <c r="R43" t="str">
        <f t="shared" si="7"/>
        <v/>
      </c>
    </row>
    <row r="44" spans="2:18" x14ac:dyDescent="0.25">
      <c r="B44" s="2">
        <v>13758</v>
      </c>
      <c r="C44" s="3" t="s">
        <v>38</v>
      </c>
      <c r="D44" s="3" t="s">
        <v>164</v>
      </c>
      <c r="K44">
        <v>25</v>
      </c>
      <c r="M44">
        <f t="shared" si="12"/>
        <v>25</v>
      </c>
      <c r="N44">
        <f t="shared" si="5"/>
        <v>0</v>
      </c>
      <c r="P44" t="str">
        <f t="shared" si="10"/>
        <v/>
      </c>
      <c r="Q44" t="str">
        <f t="shared" si="6"/>
        <v/>
      </c>
      <c r="R44" t="str">
        <f t="shared" si="7"/>
        <v/>
      </c>
    </row>
    <row r="45" spans="2:18" x14ac:dyDescent="0.25">
      <c r="B45" s="2">
        <v>13759</v>
      </c>
      <c r="C45" s="3" t="s">
        <v>39</v>
      </c>
      <c r="D45" s="3" t="s">
        <v>165</v>
      </c>
      <c r="K45">
        <v>40</v>
      </c>
      <c r="M45">
        <f t="shared" si="12"/>
        <v>40</v>
      </c>
      <c r="N45">
        <f t="shared" si="5"/>
        <v>0</v>
      </c>
      <c r="P45" t="str">
        <f t="shared" si="10"/>
        <v/>
      </c>
      <c r="Q45" t="str">
        <f t="shared" si="6"/>
        <v/>
      </c>
      <c r="R45" t="str">
        <f t="shared" si="7"/>
        <v/>
      </c>
    </row>
    <row r="46" spans="2:18" x14ac:dyDescent="0.25">
      <c r="B46" s="2">
        <v>13760</v>
      </c>
      <c r="C46" s="3" t="s">
        <v>40</v>
      </c>
      <c r="D46" s="3" t="s">
        <v>166</v>
      </c>
      <c r="K46">
        <v>60</v>
      </c>
      <c r="M46">
        <f t="shared" si="12"/>
        <v>60</v>
      </c>
      <c r="N46">
        <f t="shared" si="5"/>
        <v>0</v>
      </c>
      <c r="P46" t="str">
        <f t="shared" si="10"/>
        <v/>
      </c>
      <c r="Q46" t="str">
        <f t="shared" si="6"/>
        <v/>
      </c>
      <c r="R46" t="str">
        <f t="shared" si="7"/>
        <v/>
      </c>
    </row>
    <row r="47" spans="2:18" x14ac:dyDescent="0.25">
      <c r="B47" s="2">
        <v>13761</v>
      </c>
      <c r="C47" s="3" t="s">
        <v>41</v>
      </c>
      <c r="D47" s="3" t="s">
        <v>167</v>
      </c>
      <c r="K47">
        <v>80</v>
      </c>
      <c r="M47">
        <f t="shared" si="12"/>
        <v>80</v>
      </c>
      <c r="N47">
        <f t="shared" si="5"/>
        <v>0</v>
      </c>
      <c r="P47" t="str">
        <f t="shared" si="10"/>
        <v/>
      </c>
      <c r="Q47" t="str">
        <f t="shared" si="6"/>
        <v/>
      </c>
      <c r="R47" t="str">
        <f t="shared" si="7"/>
        <v/>
      </c>
    </row>
    <row r="48" spans="2:18" x14ac:dyDescent="0.25">
      <c r="B48" s="2">
        <v>13762</v>
      </c>
      <c r="C48" s="3" t="s">
        <v>42</v>
      </c>
      <c r="D48" s="3" t="s">
        <v>168</v>
      </c>
      <c r="K48">
        <v>100</v>
      </c>
      <c r="M48">
        <f t="shared" si="12"/>
        <v>100</v>
      </c>
      <c r="N48">
        <f t="shared" si="5"/>
        <v>0</v>
      </c>
      <c r="P48" t="str">
        <f t="shared" si="10"/>
        <v/>
      </c>
      <c r="Q48" t="str">
        <f t="shared" si="6"/>
        <v/>
      </c>
      <c r="R48" t="str">
        <f t="shared" si="7"/>
        <v/>
      </c>
    </row>
    <row r="49" spans="2:18" x14ac:dyDescent="0.25">
      <c r="B49" s="2">
        <v>13763</v>
      </c>
      <c r="C49" s="3" t="s">
        <v>43</v>
      </c>
      <c r="D49" s="3" t="s">
        <v>169</v>
      </c>
      <c r="K49">
        <v>200</v>
      </c>
      <c r="M49">
        <f t="shared" si="12"/>
        <v>200</v>
      </c>
      <c r="N49">
        <f t="shared" si="5"/>
        <v>0</v>
      </c>
      <c r="P49" t="str">
        <f t="shared" si="10"/>
        <v/>
      </c>
      <c r="Q49" t="str">
        <f t="shared" si="6"/>
        <v/>
      </c>
      <c r="R49" t="str">
        <f t="shared" si="7"/>
        <v/>
      </c>
    </row>
    <row r="50" spans="2:18" x14ac:dyDescent="0.25">
      <c r="B50" s="2">
        <v>13764</v>
      </c>
      <c r="C50" s="3" t="s">
        <v>44</v>
      </c>
      <c r="D50" s="3" t="s">
        <v>170</v>
      </c>
      <c r="K50">
        <v>300</v>
      </c>
      <c r="M50">
        <f t="shared" si="12"/>
        <v>300</v>
      </c>
      <c r="N50">
        <f t="shared" si="5"/>
        <v>0</v>
      </c>
      <c r="P50" t="str">
        <f t="shared" si="10"/>
        <v/>
      </c>
      <c r="Q50" t="str">
        <f t="shared" si="6"/>
        <v/>
      </c>
      <c r="R50" t="str">
        <f t="shared" si="7"/>
        <v/>
      </c>
    </row>
    <row r="51" spans="2:18" x14ac:dyDescent="0.25">
      <c r="B51" s="2">
        <v>13765</v>
      </c>
      <c r="C51" s="3" t="s">
        <v>45</v>
      </c>
      <c r="D51" s="3" t="s">
        <v>171</v>
      </c>
      <c r="K51">
        <v>400</v>
      </c>
      <c r="M51">
        <f t="shared" si="12"/>
        <v>400</v>
      </c>
      <c r="N51">
        <f t="shared" si="5"/>
        <v>0</v>
      </c>
      <c r="P51" t="str">
        <f t="shared" si="10"/>
        <v/>
      </c>
      <c r="Q51" t="str">
        <f t="shared" si="6"/>
        <v/>
      </c>
      <c r="R51" t="str">
        <f t="shared" si="7"/>
        <v/>
      </c>
    </row>
    <row r="52" spans="2:18" x14ac:dyDescent="0.25">
      <c r="B52" t="s">
        <v>46</v>
      </c>
      <c r="C52" s="3" t="s">
        <v>52</v>
      </c>
      <c r="D52" s="3" t="s">
        <v>52</v>
      </c>
      <c r="K52" s="2" t="s">
        <v>46</v>
      </c>
      <c r="M52" s="2" t="str">
        <f t="shared" si="12"/>
        <v>není v nabídce</v>
      </c>
      <c r="N52">
        <f t="shared" si="5"/>
        <v>0</v>
      </c>
      <c r="P52" t="str">
        <f t="shared" si="10"/>
        <v/>
      </c>
      <c r="Q52" t="str">
        <f t="shared" si="6"/>
        <v/>
      </c>
      <c r="R52" t="str">
        <f t="shared" si="7"/>
        <v/>
      </c>
    </row>
    <row r="53" spans="2:18" x14ac:dyDescent="0.25">
      <c r="P53" t="str">
        <f>CONCATENATE(P38,P39,P40,P41,P42,P43,P44,P45,P46,P47,P48,P49,P50,P51,P52)</f>
        <v>13755</v>
      </c>
      <c r="Q53" t="str">
        <f t="shared" ref="Q53:R53" si="13">CONCATENATE(Q38,Q39,Q40,Q41,Q42,Q43,Q44,Q45,Q46,Q47,Q48,Q49,Q50,Q51,Q52)</f>
        <v>EXP HW008223</v>
      </c>
      <c r="R53" t="str">
        <f t="shared" si="13"/>
        <v>Expanzní nádoba 8 l - HW, 8 bar, 3/4" M, na pitnou vodu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957C6-33BA-4E9B-84C0-E022DB977AEE}">
  <dimension ref="B1:Q14"/>
  <sheetViews>
    <sheetView workbookViewId="0">
      <selection activeCell="D2" sqref="D2:D12"/>
    </sheetView>
  </sheetViews>
  <sheetFormatPr defaultRowHeight="15" x14ac:dyDescent="0.25"/>
  <cols>
    <col min="1" max="1" width="3.28515625" customWidth="1"/>
  </cols>
  <sheetData>
    <row r="1" spans="2:17" x14ac:dyDescent="0.25">
      <c r="L1" s="76">
        <f>'EN pro solár'!$K$45</f>
        <v>14.203897435897433</v>
      </c>
    </row>
    <row r="2" spans="2:17" x14ac:dyDescent="0.25">
      <c r="B2" s="2">
        <v>13720</v>
      </c>
      <c r="C2" s="3" t="s">
        <v>2</v>
      </c>
      <c r="D2" s="3" t="s">
        <v>129</v>
      </c>
      <c r="K2">
        <v>12</v>
      </c>
      <c r="L2">
        <f t="shared" ref="L2:L13" si="0">IF($L$1&gt;K2,0,K2)</f>
        <v>0</v>
      </c>
      <c r="M2">
        <f>IF(L1&lt;K2,L2,0)</f>
        <v>0</v>
      </c>
      <c r="O2" t="str">
        <f t="shared" ref="O2:O13" si="1">IF(M2=0,"",B2)</f>
        <v/>
      </c>
      <c r="P2" t="str">
        <f t="shared" ref="P2:P13" si="2">IF(M2=0,"",C2)</f>
        <v/>
      </c>
      <c r="Q2" t="str">
        <f t="shared" ref="Q2:Q13" si="3">IF(M2=0,"",D2)</f>
        <v/>
      </c>
    </row>
    <row r="3" spans="2:17" x14ac:dyDescent="0.25">
      <c r="B3" s="2">
        <v>13721</v>
      </c>
      <c r="C3" s="3" t="s">
        <v>3</v>
      </c>
      <c r="D3" s="3" t="s">
        <v>128</v>
      </c>
      <c r="K3">
        <v>18</v>
      </c>
      <c r="L3">
        <f t="shared" si="0"/>
        <v>18</v>
      </c>
      <c r="M3">
        <f t="shared" ref="M3:M4" si="4">IF(L2=0,L3,0)</f>
        <v>18</v>
      </c>
      <c r="O3">
        <f t="shared" si="1"/>
        <v>13721</v>
      </c>
      <c r="P3" t="str">
        <f t="shared" si="2"/>
        <v>EXP SL018241</v>
      </c>
      <c r="Q3" t="str">
        <f t="shared" si="3"/>
        <v>Expanzní nádoba  18 l - SL, 8 bar, 3/4" M - solar</v>
      </c>
    </row>
    <row r="4" spans="2:17" x14ac:dyDescent="0.25">
      <c r="B4" s="2">
        <v>13722</v>
      </c>
      <c r="C4" s="3" t="s">
        <v>4</v>
      </c>
      <c r="D4" s="3" t="s">
        <v>130</v>
      </c>
      <c r="K4">
        <v>25</v>
      </c>
      <c r="L4">
        <f t="shared" si="0"/>
        <v>25</v>
      </c>
      <c r="M4">
        <f t="shared" si="4"/>
        <v>0</v>
      </c>
      <c r="O4" t="str">
        <f t="shared" si="1"/>
        <v/>
      </c>
      <c r="P4" t="str">
        <f t="shared" si="2"/>
        <v/>
      </c>
      <c r="Q4" t="str">
        <f t="shared" si="3"/>
        <v/>
      </c>
    </row>
    <row r="5" spans="2:17" x14ac:dyDescent="0.25">
      <c r="B5" s="2">
        <v>13723</v>
      </c>
      <c r="C5" s="3" t="s">
        <v>5</v>
      </c>
      <c r="D5" s="3" t="s">
        <v>131</v>
      </c>
      <c r="K5">
        <v>40</v>
      </c>
      <c r="L5">
        <f t="shared" si="0"/>
        <v>40</v>
      </c>
      <c r="M5">
        <f>IF(L4=0,L5,0)</f>
        <v>0</v>
      </c>
      <c r="O5" t="str">
        <f t="shared" si="1"/>
        <v/>
      </c>
      <c r="P5" t="str">
        <f t="shared" si="2"/>
        <v/>
      </c>
      <c r="Q5" t="str">
        <f t="shared" si="3"/>
        <v/>
      </c>
    </row>
    <row r="6" spans="2:17" x14ac:dyDescent="0.25">
      <c r="B6" s="2">
        <v>13724</v>
      </c>
      <c r="C6" s="3" t="s">
        <v>6</v>
      </c>
      <c r="D6" s="3" t="s">
        <v>132</v>
      </c>
      <c r="K6">
        <v>50</v>
      </c>
      <c r="L6">
        <f t="shared" si="0"/>
        <v>50</v>
      </c>
      <c r="M6">
        <f t="shared" ref="M6:M13" si="5">IF(L5=0,L6,0)</f>
        <v>0</v>
      </c>
      <c r="O6" t="str">
        <f t="shared" si="1"/>
        <v/>
      </c>
      <c r="P6" t="str">
        <f t="shared" si="2"/>
        <v/>
      </c>
      <c r="Q6" t="str">
        <f t="shared" si="3"/>
        <v/>
      </c>
    </row>
    <row r="7" spans="2:17" x14ac:dyDescent="0.25">
      <c r="B7" s="2">
        <v>13725</v>
      </c>
      <c r="C7" s="3" t="s">
        <v>7</v>
      </c>
      <c r="D7" s="3" t="s">
        <v>133</v>
      </c>
      <c r="K7">
        <v>80</v>
      </c>
      <c r="L7">
        <f t="shared" si="0"/>
        <v>80</v>
      </c>
      <c r="M7">
        <f t="shared" si="5"/>
        <v>0</v>
      </c>
      <c r="O7" t="str">
        <f t="shared" si="1"/>
        <v/>
      </c>
      <c r="P7" t="str">
        <f t="shared" si="2"/>
        <v/>
      </c>
      <c r="Q7" t="str">
        <f t="shared" si="3"/>
        <v/>
      </c>
    </row>
    <row r="8" spans="2:17" x14ac:dyDescent="0.25">
      <c r="B8" s="2">
        <v>13726</v>
      </c>
      <c r="C8" s="3" t="s">
        <v>8</v>
      </c>
      <c r="D8" s="3" t="s">
        <v>134</v>
      </c>
      <c r="K8">
        <v>100</v>
      </c>
      <c r="L8">
        <f t="shared" si="0"/>
        <v>100</v>
      </c>
      <c r="M8">
        <f t="shared" si="5"/>
        <v>0</v>
      </c>
      <c r="O8" t="str">
        <f t="shared" si="1"/>
        <v/>
      </c>
      <c r="P8" t="str">
        <f t="shared" si="2"/>
        <v/>
      </c>
      <c r="Q8" t="str">
        <f t="shared" si="3"/>
        <v/>
      </c>
    </row>
    <row r="9" spans="2:17" x14ac:dyDescent="0.25">
      <c r="B9" s="2">
        <v>13727</v>
      </c>
      <c r="C9" s="3" t="s">
        <v>9</v>
      </c>
      <c r="D9" s="3" t="s">
        <v>135</v>
      </c>
      <c r="K9">
        <v>150</v>
      </c>
      <c r="L9">
        <f t="shared" si="0"/>
        <v>150</v>
      </c>
      <c r="M9">
        <f t="shared" si="5"/>
        <v>0</v>
      </c>
      <c r="O9" t="str">
        <f t="shared" si="1"/>
        <v/>
      </c>
      <c r="P9" t="str">
        <f t="shared" si="2"/>
        <v/>
      </c>
      <c r="Q9" t="str">
        <f t="shared" si="3"/>
        <v/>
      </c>
    </row>
    <row r="10" spans="2:17" x14ac:dyDescent="0.25">
      <c r="B10" s="2">
        <v>13728</v>
      </c>
      <c r="C10" s="3" t="s">
        <v>10</v>
      </c>
      <c r="D10" s="3" t="s">
        <v>136</v>
      </c>
      <c r="K10">
        <v>200</v>
      </c>
      <c r="L10">
        <f t="shared" si="0"/>
        <v>200</v>
      </c>
      <c r="M10">
        <f t="shared" si="5"/>
        <v>0</v>
      </c>
      <c r="O10" t="str">
        <f t="shared" si="1"/>
        <v/>
      </c>
      <c r="P10" t="str">
        <f t="shared" si="2"/>
        <v/>
      </c>
      <c r="Q10" t="str">
        <f t="shared" si="3"/>
        <v/>
      </c>
    </row>
    <row r="11" spans="2:17" x14ac:dyDescent="0.25">
      <c r="B11" s="2">
        <v>13729</v>
      </c>
      <c r="C11" s="3" t="s">
        <v>11</v>
      </c>
      <c r="D11" s="3" t="s">
        <v>137</v>
      </c>
      <c r="K11">
        <v>300</v>
      </c>
      <c r="L11">
        <f t="shared" si="0"/>
        <v>300</v>
      </c>
      <c r="M11">
        <f t="shared" si="5"/>
        <v>0</v>
      </c>
      <c r="O11" t="str">
        <f t="shared" si="1"/>
        <v/>
      </c>
      <c r="P11" t="str">
        <f t="shared" si="2"/>
        <v/>
      </c>
      <c r="Q11" t="str">
        <f t="shared" si="3"/>
        <v/>
      </c>
    </row>
    <row r="12" spans="2:17" x14ac:dyDescent="0.25">
      <c r="B12" s="2">
        <v>13730</v>
      </c>
      <c r="C12" s="3" t="s">
        <v>12</v>
      </c>
      <c r="D12" s="3" t="s">
        <v>138</v>
      </c>
      <c r="K12">
        <v>500</v>
      </c>
      <c r="L12">
        <f t="shared" si="0"/>
        <v>500</v>
      </c>
      <c r="M12">
        <f t="shared" si="5"/>
        <v>0</v>
      </c>
      <c r="O12" t="str">
        <f t="shared" si="1"/>
        <v/>
      </c>
      <c r="P12" t="str">
        <f t="shared" si="2"/>
        <v/>
      </c>
      <c r="Q12" t="str">
        <f t="shared" si="3"/>
        <v/>
      </c>
    </row>
    <row r="13" spans="2:17" x14ac:dyDescent="0.25">
      <c r="B13" s="2" t="s">
        <v>46</v>
      </c>
      <c r="C13" s="3" t="s">
        <v>52</v>
      </c>
      <c r="D13" s="3" t="s">
        <v>52</v>
      </c>
      <c r="K13" s="2" t="s">
        <v>46</v>
      </c>
      <c r="L13" t="str">
        <f t="shared" si="0"/>
        <v>není v nabídce</v>
      </c>
      <c r="M13">
        <f t="shared" si="5"/>
        <v>0</v>
      </c>
      <c r="O13" t="str">
        <f t="shared" si="1"/>
        <v/>
      </c>
      <c r="P13" t="str">
        <f t="shared" si="2"/>
        <v/>
      </c>
      <c r="Q13" t="str">
        <f t="shared" si="3"/>
        <v/>
      </c>
    </row>
    <row r="14" spans="2:17" x14ac:dyDescent="0.25">
      <c r="B14" s="2"/>
      <c r="C14" s="3"/>
      <c r="D14" s="3"/>
      <c r="K14" s="2"/>
      <c r="O14" t="str">
        <f>CONCATENATE(O2,O3,O4,O5,O6,O7,O8,O9,O10,O11,O12,O13)</f>
        <v>13721</v>
      </c>
      <c r="P14" t="str">
        <f t="shared" ref="P14:Q14" si="6">CONCATENATE(P2,P3,P4,P5,P6,P7,P8,P9,P10,P11,P12,P13)</f>
        <v>EXP SL018241</v>
      </c>
      <c r="Q14" t="str">
        <f t="shared" si="6"/>
        <v>Expanzní nádoba  18 l - SL, 8 bar, 3/4" M - solar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0908-551E-461D-8199-7B47DF26475F}">
  <dimension ref="B1:R22"/>
  <sheetViews>
    <sheetView workbookViewId="0">
      <selection activeCell="D2" sqref="D2:D20"/>
    </sheetView>
  </sheetViews>
  <sheetFormatPr defaultRowHeight="15" x14ac:dyDescent="0.25"/>
  <cols>
    <col min="1" max="1" width="3.28515625" customWidth="1"/>
  </cols>
  <sheetData>
    <row r="1" spans="2:18" x14ac:dyDescent="0.25">
      <c r="B1" s="2"/>
      <c r="C1" s="3"/>
      <c r="D1" s="3"/>
      <c r="K1" s="2"/>
      <c r="M1">
        <f>'EN pro vytápění'!$L$7</f>
        <v>24.865772123115828</v>
      </c>
    </row>
    <row r="2" spans="2:18" x14ac:dyDescent="0.25">
      <c r="B2" s="2">
        <v>13731</v>
      </c>
      <c r="C2" s="3" t="s">
        <v>13</v>
      </c>
      <c r="D2" s="3" t="s">
        <v>139</v>
      </c>
      <c r="K2">
        <v>5</v>
      </c>
      <c r="M2">
        <f>IF($M$1&gt;K2,0,K2)</f>
        <v>0</v>
      </c>
      <c r="N2">
        <f t="shared" ref="N2:N21" si="0">IF(M1=0,M2,0)</f>
        <v>0</v>
      </c>
      <c r="P2" t="str">
        <f t="shared" ref="P2:P21" si="1">IF(N2=0,"",B2)</f>
        <v/>
      </c>
      <c r="Q2" t="str">
        <f t="shared" ref="Q2:Q21" si="2">IF(N2=0,"",C2)</f>
        <v/>
      </c>
      <c r="R2" t="str">
        <f t="shared" ref="R2:R21" si="3">IF(N2=0,"",D2)</f>
        <v/>
      </c>
    </row>
    <row r="3" spans="2:18" x14ac:dyDescent="0.25">
      <c r="B3" s="2">
        <v>13732</v>
      </c>
      <c r="C3" s="3" t="s">
        <v>14</v>
      </c>
      <c r="D3" s="3" t="s">
        <v>140</v>
      </c>
      <c r="K3">
        <v>8</v>
      </c>
      <c r="M3">
        <f t="shared" ref="M3:M21" si="4">IF($M$1&gt;K3,0,K3)</f>
        <v>0</v>
      </c>
      <c r="N3">
        <f t="shared" si="0"/>
        <v>0</v>
      </c>
      <c r="P3" t="str">
        <f t="shared" si="1"/>
        <v/>
      </c>
      <c r="Q3" t="str">
        <f t="shared" si="2"/>
        <v/>
      </c>
      <c r="R3" t="str">
        <f t="shared" si="3"/>
        <v/>
      </c>
    </row>
    <row r="4" spans="2:18" x14ac:dyDescent="0.25">
      <c r="B4" s="2">
        <v>13734</v>
      </c>
      <c r="C4" s="3" t="s">
        <v>15</v>
      </c>
      <c r="D4" s="3" t="s">
        <v>141</v>
      </c>
      <c r="K4">
        <v>12</v>
      </c>
      <c r="M4">
        <f t="shared" si="4"/>
        <v>0</v>
      </c>
      <c r="N4">
        <f t="shared" si="0"/>
        <v>0</v>
      </c>
      <c r="P4" t="str">
        <f t="shared" si="1"/>
        <v/>
      </c>
      <c r="Q4" t="str">
        <f t="shared" si="2"/>
        <v/>
      </c>
      <c r="R4" t="str">
        <f t="shared" si="3"/>
        <v/>
      </c>
    </row>
    <row r="5" spans="2:18" x14ac:dyDescent="0.25">
      <c r="B5" s="2">
        <v>13735</v>
      </c>
      <c r="C5" s="3" t="s">
        <v>16</v>
      </c>
      <c r="D5" s="3" t="s">
        <v>142</v>
      </c>
      <c r="K5">
        <v>18</v>
      </c>
      <c r="M5">
        <f t="shared" si="4"/>
        <v>0</v>
      </c>
      <c r="N5">
        <f t="shared" si="0"/>
        <v>0</v>
      </c>
      <c r="P5" t="str">
        <f t="shared" si="1"/>
        <v/>
      </c>
      <c r="Q5" t="str">
        <f t="shared" si="2"/>
        <v/>
      </c>
      <c r="R5" t="str">
        <f t="shared" si="3"/>
        <v/>
      </c>
    </row>
    <row r="6" spans="2:18" x14ac:dyDescent="0.25">
      <c r="B6" s="2">
        <v>13736</v>
      </c>
      <c r="C6" s="3" t="s">
        <v>17</v>
      </c>
      <c r="D6" s="3" t="s">
        <v>143</v>
      </c>
      <c r="K6">
        <v>25</v>
      </c>
      <c r="M6">
        <f t="shared" si="4"/>
        <v>25</v>
      </c>
      <c r="N6">
        <f t="shared" si="0"/>
        <v>25</v>
      </c>
      <c r="P6">
        <f t="shared" si="1"/>
        <v>13736</v>
      </c>
      <c r="Q6" t="str">
        <f t="shared" si="2"/>
        <v>EXP HS025231</v>
      </c>
      <c r="R6" t="str">
        <f t="shared" si="3"/>
        <v>Expanzní nádoba  25 l - HS, 6 bar, 3/4" M</v>
      </c>
    </row>
    <row r="7" spans="2:18" x14ac:dyDescent="0.25">
      <c r="B7" s="2">
        <v>13738</v>
      </c>
      <c r="C7" s="3" t="s">
        <v>19</v>
      </c>
      <c r="D7" s="3" t="s">
        <v>145</v>
      </c>
      <c r="K7">
        <v>35</v>
      </c>
      <c r="M7">
        <f t="shared" si="4"/>
        <v>35</v>
      </c>
      <c r="N7">
        <f t="shared" si="0"/>
        <v>0</v>
      </c>
      <c r="P7" t="str">
        <f t="shared" si="1"/>
        <v/>
      </c>
      <c r="Q7" t="str">
        <f t="shared" si="2"/>
        <v/>
      </c>
      <c r="R7" t="str">
        <f t="shared" si="3"/>
        <v/>
      </c>
    </row>
    <row r="8" spans="2:18" x14ac:dyDescent="0.25">
      <c r="B8" s="2">
        <v>13737</v>
      </c>
      <c r="C8" s="3" t="s">
        <v>18</v>
      </c>
      <c r="D8" s="3" t="s">
        <v>144</v>
      </c>
      <c r="K8">
        <v>40</v>
      </c>
      <c r="M8">
        <f t="shared" si="4"/>
        <v>40</v>
      </c>
      <c r="N8">
        <f t="shared" si="0"/>
        <v>0</v>
      </c>
      <c r="P8" t="str">
        <f t="shared" si="1"/>
        <v/>
      </c>
      <c r="Q8" t="str">
        <f t="shared" si="2"/>
        <v/>
      </c>
      <c r="R8" t="str">
        <f t="shared" si="3"/>
        <v/>
      </c>
    </row>
    <row r="9" spans="2:18" x14ac:dyDescent="0.25">
      <c r="B9" s="2">
        <v>13739</v>
      </c>
      <c r="C9" s="3" t="s">
        <v>20</v>
      </c>
      <c r="D9" s="3" t="s">
        <v>146</v>
      </c>
      <c r="K9">
        <v>50</v>
      </c>
      <c r="M9">
        <f t="shared" si="4"/>
        <v>50</v>
      </c>
      <c r="N9">
        <f t="shared" si="0"/>
        <v>0</v>
      </c>
      <c r="P9" t="str">
        <f t="shared" si="1"/>
        <v/>
      </c>
      <c r="Q9" t="str">
        <f t="shared" si="2"/>
        <v/>
      </c>
      <c r="R9" t="str">
        <f t="shared" si="3"/>
        <v/>
      </c>
    </row>
    <row r="10" spans="2:18" x14ac:dyDescent="0.25">
      <c r="B10" s="2">
        <v>13740</v>
      </c>
      <c r="C10" s="3" t="s">
        <v>21</v>
      </c>
      <c r="D10" s="3" t="s">
        <v>147</v>
      </c>
      <c r="K10">
        <v>60</v>
      </c>
      <c r="M10">
        <f t="shared" si="4"/>
        <v>60</v>
      </c>
      <c r="N10">
        <f t="shared" si="0"/>
        <v>0</v>
      </c>
      <c r="P10" t="str">
        <f t="shared" si="1"/>
        <v/>
      </c>
      <c r="Q10" t="str">
        <f t="shared" si="2"/>
        <v/>
      </c>
      <c r="R10" t="str">
        <f t="shared" si="3"/>
        <v/>
      </c>
    </row>
    <row r="11" spans="2:18" x14ac:dyDescent="0.25">
      <c r="B11" s="2">
        <v>13741</v>
      </c>
      <c r="C11" s="3" t="s">
        <v>22</v>
      </c>
      <c r="D11" s="3" t="s">
        <v>148</v>
      </c>
      <c r="K11">
        <v>80</v>
      </c>
      <c r="M11">
        <f t="shared" si="4"/>
        <v>80</v>
      </c>
      <c r="N11">
        <f t="shared" si="0"/>
        <v>0</v>
      </c>
      <c r="P11" t="str">
        <f t="shared" si="1"/>
        <v/>
      </c>
      <c r="Q11" t="str">
        <f t="shared" si="2"/>
        <v/>
      </c>
      <c r="R11" t="str">
        <f t="shared" si="3"/>
        <v/>
      </c>
    </row>
    <row r="12" spans="2:18" x14ac:dyDescent="0.25">
      <c r="B12" s="2">
        <v>13742</v>
      </c>
      <c r="C12" s="3" t="s">
        <v>23</v>
      </c>
      <c r="D12" s="3" t="s">
        <v>149</v>
      </c>
      <c r="K12">
        <v>100</v>
      </c>
      <c r="M12">
        <f t="shared" si="4"/>
        <v>100</v>
      </c>
      <c r="N12">
        <f t="shared" si="0"/>
        <v>0</v>
      </c>
      <c r="P12" t="str">
        <f t="shared" si="1"/>
        <v/>
      </c>
      <c r="Q12" t="str">
        <f t="shared" si="2"/>
        <v/>
      </c>
      <c r="R12" t="str">
        <f t="shared" si="3"/>
        <v/>
      </c>
    </row>
    <row r="13" spans="2:18" x14ac:dyDescent="0.25">
      <c r="B13" s="2">
        <v>13743</v>
      </c>
      <c r="C13" s="3" t="s">
        <v>24</v>
      </c>
      <c r="D13" s="3" t="s">
        <v>150</v>
      </c>
      <c r="K13">
        <v>150</v>
      </c>
      <c r="M13">
        <f t="shared" si="4"/>
        <v>150</v>
      </c>
      <c r="N13">
        <f t="shared" si="0"/>
        <v>0</v>
      </c>
      <c r="P13" t="str">
        <f t="shared" si="1"/>
        <v/>
      </c>
      <c r="Q13" t="str">
        <f t="shared" si="2"/>
        <v/>
      </c>
      <c r="R13" t="str">
        <f t="shared" si="3"/>
        <v/>
      </c>
    </row>
    <row r="14" spans="2:18" x14ac:dyDescent="0.25">
      <c r="B14" s="2">
        <v>13744</v>
      </c>
      <c r="C14" s="3" t="s">
        <v>25</v>
      </c>
      <c r="D14" s="3" t="s">
        <v>151</v>
      </c>
      <c r="K14">
        <v>200</v>
      </c>
      <c r="M14">
        <f t="shared" si="4"/>
        <v>200</v>
      </c>
      <c r="N14">
        <f t="shared" si="0"/>
        <v>0</v>
      </c>
      <c r="P14" t="str">
        <f t="shared" si="1"/>
        <v/>
      </c>
      <c r="Q14" t="str">
        <f t="shared" si="2"/>
        <v/>
      </c>
      <c r="R14" t="str">
        <f t="shared" si="3"/>
        <v/>
      </c>
    </row>
    <row r="15" spans="2:18" x14ac:dyDescent="0.25">
      <c r="B15" s="2">
        <v>13745</v>
      </c>
      <c r="C15" s="3" t="s">
        <v>26</v>
      </c>
      <c r="D15" s="3" t="s">
        <v>152</v>
      </c>
      <c r="K15">
        <v>250</v>
      </c>
      <c r="M15">
        <f t="shared" si="4"/>
        <v>250</v>
      </c>
      <c r="N15">
        <f t="shared" si="0"/>
        <v>0</v>
      </c>
      <c r="P15" t="str">
        <f t="shared" si="1"/>
        <v/>
      </c>
      <c r="Q15" t="str">
        <f t="shared" si="2"/>
        <v/>
      </c>
      <c r="R15" t="str">
        <f t="shared" si="3"/>
        <v/>
      </c>
    </row>
    <row r="16" spans="2:18" x14ac:dyDescent="0.25">
      <c r="B16" s="2">
        <v>13746</v>
      </c>
      <c r="C16" s="3" t="s">
        <v>27</v>
      </c>
      <c r="D16" s="3" t="s">
        <v>153</v>
      </c>
      <c r="K16">
        <v>300</v>
      </c>
      <c r="M16">
        <f t="shared" si="4"/>
        <v>300</v>
      </c>
      <c r="N16">
        <f t="shared" si="0"/>
        <v>0</v>
      </c>
      <c r="P16" t="str">
        <f t="shared" si="1"/>
        <v/>
      </c>
      <c r="Q16" t="str">
        <f t="shared" si="2"/>
        <v/>
      </c>
      <c r="R16" t="str">
        <f t="shared" si="3"/>
        <v/>
      </c>
    </row>
    <row r="17" spans="2:18" x14ac:dyDescent="0.25">
      <c r="B17" s="2">
        <v>13747</v>
      </c>
      <c r="C17" s="3" t="s">
        <v>28</v>
      </c>
      <c r="D17" s="3" t="s">
        <v>154</v>
      </c>
      <c r="K17">
        <v>400</v>
      </c>
      <c r="M17">
        <f t="shared" si="4"/>
        <v>400</v>
      </c>
      <c r="N17">
        <f t="shared" si="0"/>
        <v>0</v>
      </c>
      <c r="P17" t="str">
        <f t="shared" si="1"/>
        <v/>
      </c>
      <c r="Q17" t="str">
        <f t="shared" si="2"/>
        <v/>
      </c>
      <c r="R17" t="str">
        <f t="shared" si="3"/>
        <v/>
      </c>
    </row>
    <row r="18" spans="2:18" x14ac:dyDescent="0.25">
      <c r="B18" s="2">
        <v>13748</v>
      </c>
      <c r="C18" s="3" t="s">
        <v>29</v>
      </c>
      <c r="D18" s="3" t="s">
        <v>155</v>
      </c>
      <c r="K18">
        <v>500</v>
      </c>
      <c r="M18">
        <f t="shared" si="4"/>
        <v>500</v>
      </c>
      <c r="N18">
        <f t="shared" si="0"/>
        <v>0</v>
      </c>
      <c r="P18" t="str">
        <f t="shared" si="1"/>
        <v/>
      </c>
      <c r="Q18" t="str">
        <f t="shared" si="2"/>
        <v/>
      </c>
      <c r="R18" t="str">
        <f t="shared" si="3"/>
        <v/>
      </c>
    </row>
    <row r="19" spans="2:18" x14ac:dyDescent="0.25">
      <c r="B19" s="2">
        <v>13749</v>
      </c>
      <c r="C19" s="3" t="s">
        <v>30</v>
      </c>
      <c r="D19" s="3" t="s">
        <v>156</v>
      </c>
      <c r="K19">
        <v>600</v>
      </c>
      <c r="M19">
        <f t="shared" si="4"/>
        <v>600</v>
      </c>
      <c r="N19">
        <f t="shared" si="0"/>
        <v>0</v>
      </c>
      <c r="P19" t="str">
        <f t="shared" si="1"/>
        <v/>
      </c>
      <c r="Q19" t="str">
        <f t="shared" si="2"/>
        <v/>
      </c>
      <c r="R19" t="str">
        <f t="shared" si="3"/>
        <v/>
      </c>
    </row>
    <row r="20" spans="2:18" x14ac:dyDescent="0.25">
      <c r="B20" s="2">
        <v>13750</v>
      </c>
      <c r="C20" s="3" t="s">
        <v>31</v>
      </c>
      <c r="D20" s="3" t="s">
        <v>157</v>
      </c>
      <c r="K20">
        <v>700</v>
      </c>
      <c r="M20">
        <f t="shared" si="4"/>
        <v>700</v>
      </c>
      <c r="N20">
        <f t="shared" si="0"/>
        <v>0</v>
      </c>
      <c r="P20" t="str">
        <f t="shared" si="1"/>
        <v/>
      </c>
      <c r="Q20" t="str">
        <f t="shared" si="2"/>
        <v/>
      </c>
      <c r="R20" t="str">
        <f t="shared" si="3"/>
        <v/>
      </c>
    </row>
    <row r="21" spans="2:18" x14ac:dyDescent="0.25">
      <c r="B21" s="2" t="s">
        <v>46</v>
      </c>
      <c r="C21" s="3" t="s">
        <v>52</v>
      </c>
      <c r="D21" s="3" t="s">
        <v>52</v>
      </c>
      <c r="K21" s="2" t="s">
        <v>46</v>
      </c>
      <c r="M21" s="2" t="str">
        <f t="shared" si="4"/>
        <v>není v nabídce</v>
      </c>
      <c r="N21">
        <f t="shared" si="0"/>
        <v>0</v>
      </c>
      <c r="P21" t="str">
        <f t="shared" si="1"/>
        <v/>
      </c>
      <c r="Q21" t="str">
        <f t="shared" si="2"/>
        <v/>
      </c>
      <c r="R21" t="str">
        <f t="shared" si="3"/>
        <v/>
      </c>
    </row>
    <row r="22" spans="2:18" x14ac:dyDescent="0.25">
      <c r="B22" s="2"/>
      <c r="C22" s="3"/>
      <c r="D22" s="3"/>
      <c r="K22" s="2"/>
      <c r="P22" t="str">
        <f>CONCATENATE(P2,P3,P4,P5,P6,P7,P8,P9,P10,P11,P12,P13,P14,P15,P16,P17,P18,P19,P20,P21)</f>
        <v>13736</v>
      </c>
      <c r="Q22" t="str">
        <f t="shared" ref="Q22:R22" si="5">CONCATENATE(Q2,Q3,Q4,Q5,Q6,Q7,Q8,Q9,Q10,Q11,Q12,Q13,Q14,Q15,Q16,Q17,Q18,Q19,Q20,Q21)</f>
        <v>EXP HS025231</v>
      </c>
      <c r="R22" t="str">
        <f t="shared" si="5"/>
        <v>Expanzní nádoba  25 l - HS, 6 bar, 3/4" M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ÚVODNÍ LIST</vt:lpstr>
      <vt:lpstr>EN pro solár</vt:lpstr>
      <vt:lpstr>EN pro vytápění</vt:lpstr>
      <vt:lpstr>výpočet úvodní</vt:lpstr>
      <vt:lpstr>výpočet solár</vt:lpstr>
      <vt:lpstr>výpočet vytápění</vt:lpstr>
      <vt:lpstr>'EN pro solár'!Oblast_tisku</vt:lpstr>
      <vt:lpstr>'EN pro vytápění'!Oblast_tisku</vt:lpstr>
      <vt:lpstr>'ÚVODNÍ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Zabloudil</dc:creator>
  <cp:lastModifiedBy>Andrea Bláhová</cp:lastModifiedBy>
  <cp:lastPrinted>2021-10-07T10:39:51Z</cp:lastPrinted>
  <dcterms:created xsi:type="dcterms:W3CDTF">2021-08-26T05:21:39Z</dcterms:created>
  <dcterms:modified xsi:type="dcterms:W3CDTF">2021-10-07T10:40:40Z</dcterms:modified>
</cp:coreProperties>
</file>